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orsirina1\Documents\2018\Proiect buget_2019\particularitati_APC\tabele si indic met\tabele nr.1-34\"/>
    </mc:Choice>
  </mc:AlternateContent>
  <bookViews>
    <workbookView xWindow="0" yWindow="0" windowWidth="14805" windowHeight="12090" tabRatio="719"/>
  </bookViews>
  <sheets>
    <sheet name="tabel nr.2" sheetId="29" r:id="rId1"/>
    <sheet name="tabel nr.3" sheetId="27" r:id="rId2"/>
    <sheet name="tabel nr.4" sheetId="30" r:id="rId3"/>
    <sheet name="tabel nr.5" sheetId="13" r:id="rId4"/>
    <sheet name="tabel nr.6" sheetId="19" r:id="rId5"/>
    <sheet name="tabel nr.7" sheetId="15" r:id="rId6"/>
    <sheet name="tabel nr.8" sheetId="20" r:id="rId7"/>
    <sheet name="tabel nr.9" sheetId="17" r:id="rId8"/>
    <sheet name="tabel nr.10" sheetId="18" r:id="rId9"/>
    <sheet name="tabel nr.11" sheetId="21" r:id="rId10"/>
    <sheet name="tabel nr.12" sheetId="23" r:id="rId11"/>
    <sheet name="tabel nr.13" sheetId="25" r:id="rId12"/>
    <sheet name="tabel nr.14" sheetId="26" r:id="rId13"/>
  </sheets>
  <definedNames>
    <definedName name="_xlnm.Print_Area" localSheetId="8">'tabel nr.10'!$A$1:$AE$35</definedName>
    <definedName name="_xlnm.Print_Area" localSheetId="9">'tabel nr.11'!$A$1:$Y$35</definedName>
    <definedName name="_xlnm.Print_Area" localSheetId="10">'tabel nr.12'!$A$1:$AC$36</definedName>
    <definedName name="_xlnm.Print_Area" localSheetId="11">'tabel nr.13'!$A$1:$AB$35</definedName>
    <definedName name="_xlnm.Print_Area" localSheetId="12">'tabel nr.14'!$A$1:$AC$33</definedName>
    <definedName name="_xlnm.Print_Area" localSheetId="0">'tabel nr.2'!$A$1:$BA$43</definedName>
    <definedName name="_xlnm.Print_Area" localSheetId="1">'tabel nr.3'!$A$1:$BE$35</definedName>
    <definedName name="_xlnm.Print_Area" localSheetId="2">'tabel nr.4'!$A$1:$AI$35</definedName>
    <definedName name="_xlnm.Print_Area" localSheetId="3">'tabel nr.5'!$A$1:$BE$41</definedName>
    <definedName name="_xlnm.Print_Area" localSheetId="4">'tabel nr.6'!$A$1:$AN$35</definedName>
    <definedName name="_xlnm.Print_Area" localSheetId="5">'tabel nr.7'!$A$1:$AV$35</definedName>
    <definedName name="_xlnm.Print_Area" localSheetId="6">'tabel nr.8'!$A$1:$AE$33</definedName>
    <definedName name="_xlnm.Print_Area" localSheetId="7">'tabel nr.9'!$A$1:$AW$34</definedName>
    <definedName name="_xlnm.Print_Titles" localSheetId="8">'tabel nr.10'!$A:$B,'tabel nr.10'!$13:$13</definedName>
    <definedName name="_xlnm.Print_Titles" localSheetId="9">'tabel nr.11'!$A:$B,'tabel nr.11'!$13:$13</definedName>
    <definedName name="_xlnm.Print_Titles" localSheetId="10">'tabel nr.12'!$A:$B,'tabel nr.12'!$13:$13</definedName>
    <definedName name="_xlnm.Print_Titles" localSheetId="11">'tabel nr.13'!$A:$B,'tabel nr.13'!$13:$13</definedName>
    <definedName name="_xlnm.Print_Titles" localSheetId="12">'tabel nr.14'!$A:$B,'tabel nr.14'!$12:$12</definedName>
    <definedName name="_xlnm.Print_Titles" localSheetId="0">'tabel nr.2'!$A:$C,'tabel nr.2'!$13:$13</definedName>
    <definedName name="_xlnm.Print_Titles" localSheetId="1">'tabel nr.3'!$A:$B,'tabel nr.3'!$13:$13</definedName>
    <definedName name="_xlnm.Print_Titles" localSheetId="2">'tabel nr.4'!$A:$C,'tabel nr.4'!$11:$11</definedName>
    <definedName name="_xlnm.Print_Titles" localSheetId="3">'tabel nr.5'!$A:$B,'tabel nr.5'!$13:$13</definedName>
    <definedName name="_xlnm.Print_Titles" localSheetId="4">'tabel nr.6'!$A:$B,'tabel nr.6'!$13:$13</definedName>
    <definedName name="_xlnm.Print_Titles" localSheetId="5">'tabel nr.7'!$A:$B,'tabel nr.7'!$13:$13</definedName>
    <definedName name="_xlnm.Print_Titles" localSheetId="6">'tabel nr.8'!$A:$B,'tabel nr.8'!$13:$13</definedName>
    <definedName name="_xlnm.Print_Titles" localSheetId="7">'tabel nr.9'!$A:$B,'tabel nr.9'!$13:$13</definedName>
  </definedNames>
  <calcPr calcId="162913"/>
</workbook>
</file>

<file path=xl/calcChain.xml><?xml version="1.0" encoding="utf-8"?>
<calcChain xmlns="http://schemas.openxmlformats.org/spreadsheetml/2006/main">
  <c r="AX15" i="29" l="1"/>
  <c r="AV29" i="29"/>
  <c r="AV28" i="29"/>
  <c r="AV27" i="29"/>
  <c r="AV25" i="29"/>
  <c r="AV24" i="29"/>
  <c r="AV23" i="29"/>
  <c r="AV21" i="29"/>
  <c r="AV20" i="29"/>
  <c r="AV19" i="29"/>
  <c r="AV16" i="29"/>
  <c r="AV17" i="29"/>
  <c r="AC17" i="26" l="1"/>
  <c r="AB17" i="26"/>
  <c r="AA17" i="26"/>
  <c r="Z17" i="26"/>
  <c r="Y17" i="26"/>
  <c r="X17" i="26"/>
  <c r="W17" i="26"/>
  <c r="V17" i="26"/>
  <c r="U17" i="26"/>
  <c r="T17" i="26"/>
  <c r="S17" i="26"/>
  <c r="R17" i="26"/>
  <c r="P17" i="26"/>
  <c r="O17" i="26"/>
  <c r="N17" i="26"/>
  <c r="M17" i="26"/>
  <c r="L17" i="26"/>
  <c r="K17" i="26"/>
  <c r="I17" i="26"/>
  <c r="H17" i="26"/>
  <c r="F17" i="26"/>
  <c r="E17" i="26"/>
  <c r="AC13" i="26"/>
  <c r="AB13" i="26"/>
  <c r="AA13" i="26"/>
  <c r="Z13" i="26"/>
  <c r="Y13" i="26"/>
  <c r="X13" i="26"/>
  <c r="W13" i="26"/>
  <c r="V13" i="26"/>
  <c r="U13" i="26"/>
  <c r="T13" i="26"/>
  <c r="S13" i="26"/>
  <c r="R13" i="26"/>
  <c r="P13" i="26"/>
  <c r="O13" i="26"/>
  <c r="N13" i="26"/>
  <c r="M13" i="26"/>
  <c r="L13" i="26"/>
  <c r="K13" i="26"/>
  <c r="I13" i="26"/>
  <c r="H13" i="26"/>
  <c r="F13" i="26"/>
  <c r="E13" i="26"/>
  <c r="E21" i="23"/>
  <c r="E12" i="30" l="1"/>
  <c r="D12" i="30"/>
  <c r="E18" i="27"/>
  <c r="E14" i="27"/>
  <c r="AH13" i="30"/>
  <c r="H15" i="13" l="1"/>
  <c r="AU16" i="29" l="1"/>
  <c r="AU17" i="29"/>
  <c r="AU26" i="29"/>
  <c r="AU22" i="29"/>
  <c r="AV22" i="29"/>
  <c r="AU20" i="29"/>
  <c r="AU21" i="29"/>
  <c r="AU23" i="29"/>
  <c r="AU24" i="29"/>
  <c r="AU25" i="29"/>
  <c r="AU27" i="29"/>
  <c r="AU28" i="29"/>
  <c r="AU29" i="29"/>
  <c r="AU19" i="29"/>
  <c r="F13" i="30" l="1"/>
  <c r="AW26" i="29" l="1"/>
  <c r="AW22" i="29"/>
  <c r="J29" i="29" l="1"/>
  <c r="AB26" i="29"/>
  <c r="J28" i="29"/>
  <c r="J27" i="29"/>
  <c r="AP26" i="29"/>
  <c r="AO26" i="29"/>
  <c r="AN26" i="29"/>
  <c r="AM26" i="29"/>
  <c r="AL26" i="29"/>
  <c r="AK26" i="29"/>
  <c r="AJ26" i="29"/>
  <c r="AI26" i="29"/>
  <c r="AH26" i="29"/>
  <c r="AG26" i="29"/>
  <c r="AF26" i="29"/>
  <c r="AE26" i="29"/>
  <c r="AD26" i="29"/>
  <c r="AC26" i="29"/>
  <c r="AA26" i="29"/>
  <c r="Y26" i="29"/>
  <c r="X26" i="29"/>
  <c r="W26" i="29"/>
  <c r="V26" i="29"/>
  <c r="U26" i="29"/>
  <c r="S26" i="29"/>
  <c r="R26" i="29"/>
  <c r="Q26" i="29"/>
  <c r="P26" i="29"/>
  <c r="N26" i="29"/>
  <c r="K26" i="29"/>
  <c r="I26" i="29"/>
  <c r="H26" i="29"/>
  <c r="J25" i="29"/>
  <c r="J24" i="29"/>
  <c r="J23" i="29"/>
  <c r="L23" i="29" s="1"/>
  <c r="M23" i="29" s="1"/>
  <c r="AP22" i="29"/>
  <c r="AO22" i="29"/>
  <c r="AN22" i="29"/>
  <c r="AM22" i="29"/>
  <c r="AL22" i="29"/>
  <c r="AK22" i="29"/>
  <c r="AJ22" i="29"/>
  <c r="AI22" i="29"/>
  <c r="AH22" i="29"/>
  <c r="AG22" i="29"/>
  <c r="AF22" i="29"/>
  <c r="AE22" i="29"/>
  <c r="AD22" i="29"/>
  <c r="AC22" i="29"/>
  <c r="AB22" i="29"/>
  <c r="AA22" i="29"/>
  <c r="Y22" i="29"/>
  <c r="X22" i="29"/>
  <c r="W22" i="29"/>
  <c r="V22" i="29"/>
  <c r="U22" i="29"/>
  <c r="S22" i="29"/>
  <c r="R22" i="29"/>
  <c r="Q22" i="29"/>
  <c r="P22" i="29"/>
  <c r="N22" i="29"/>
  <c r="K22" i="29"/>
  <c r="I22" i="29"/>
  <c r="H22" i="29"/>
  <c r="J21" i="29"/>
  <c r="J20" i="29"/>
  <c r="L20" i="29" s="1"/>
  <c r="M20" i="29" s="1"/>
  <c r="J19" i="29"/>
  <c r="L19" i="29" s="1"/>
  <c r="AW18" i="29"/>
  <c r="AP18" i="29"/>
  <c r="AO18" i="29"/>
  <c r="AN18" i="29"/>
  <c r="AM18" i="29"/>
  <c r="AL18" i="29"/>
  <c r="AK18" i="29"/>
  <c r="AJ18" i="29"/>
  <c r="AI18" i="29"/>
  <c r="AH18" i="29"/>
  <c r="AG18" i="29"/>
  <c r="AF18" i="29"/>
  <c r="AE18" i="29"/>
  <c r="AD18" i="29"/>
  <c r="AC18" i="29"/>
  <c r="AB18" i="29"/>
  <c r="AA18" i="29"/>
  <c r="Y18" i="29"/>
  <c r="X18" i="29"/>
  <c r="W18" i="29"/>
  <c r="V18" i="29"/>
  <c r="U18" i="29"/>
  <c r="S18" i="29"/>
  <c r="R18" i="29"/>
  <c r="Q18" i="29"/>
  <c r="P18" i="29"/>
  <c r="N18" i="29"/>
  <c r="K18" i="29"/>
  <c r="I18" i="29"/>
  <c r="H18" i="29"/>
  <c r="L17" i="29"/>
  <c r="J17" i="29"/>
  <c r="M17" i="29" s="1"/>
  <c r="L16" i="29"/>
  <c r="M16" i="29" s="1"/>
  <c r="J16" i="29"/>
  <c r="H15" i="29"/>
  <c r="AB15" i="29" s="1"/>
  <c r="AW14" i="29"/>
  <c r="AP14" i="29"/>
  <c r="AO14" i="29"/>
  <c r="AN14" i="29"/>
  <c r="AM14" i="29"/>
  <c r="AL14" i="29"/>
  <c r="AK14" i="29"/>
  <c r="AJ14" i="29"/>
  <c r="AI14" i="29"/>
  <c r="AH14" i="29"/>
  <c r="AG14" i="29"/>
  <c r="AF14" i="29"/>
  <c r="AE14" i="29"/>
  <c r="AD14" i="29"/>
  <c r="AC14" i="29"/>
  <c r="AA14" i="29"/>
  <c r="X14" i="29"/>
  <c r="W14" i="29"/>
  <c r="V14" i="29"/>
  <c r="U14" i="29"/>
  <c r="S14" i="29"/>
  <c r="R14" i="29"/>
  <c r="Q14" i="29"/>
  <c r="P14" i="29"/>
  <c r="K14" i="29"/>
  <c r="AY23" i="27"/>
  <c r="AQ23" i="27"/>
  <c r="AP23" i="27"/>
  <c r="AU23" i="27" s="1"/>
  <c r="AM23" i="27"/>
  <c r="AK23" i="27"/>
  <c r="AI23" i="27"/>
  <c r="AY22" i="27"/>
  <c r="AQ22" i="27"/>
  <c r="AP22" i="27"/>
  <c r="AM22" i="27"/>
  <c r="AK22" i="27"/>
  <c r="AI22" i="27"/>
  <c r="AY21" i="27"/>
  <c r="AQ21" i="27"/>
  <c r="AP21" i="27"/>
  <c r="AM21" i="27"/>
  <c r="AK21" i="27"/>
  <c r="AI21" i="27"/>
  <c r="AY20" i="27"/>
  <c r="AQ20" i="27"/>
  <c r="AP20" i="27"/>
  <c r="AM20" i="27"/>
  <c r="AK20" i="27"/>
  <c r="AI20" i="27"/>
  <c r="AQ19" i="27"/>
  <c r="G19" i="27"/>
  <c r="I19" i="27" s="1"/>
  <c r="BA18" i="27"/>
  <c r="AT18" i="27"/>
  <c r="AS18" i="27"/>
  <c r="AR18" i="27"/>
  <c r="AO18" i="27"/>
  <c r="AN18" i="27"/>
  <c r="AL18" i="27"/>
  <c r="AJ18" i="27"/>
  <c r="AH18" i="27"/>
  <c r="AG18" i="27"/>
  <c r="AF18" i="27"/>
  <c r="AE18" i="27"/>
  <c r="AD18" i="27"/>
  <c r="AC18" i="27"/>
  <c r="AB18" i="27"/>
  <c r="AA18" i="27"/>
  <c r="Z18" i="27"/>
  <c r="Y18" i="27"/>
  <c r="X18" i="27"/>
  <c r="W18" i="27"/>
  <c r="V18" i="27"/>
  <c r="U18" i="27"/>
  <c r="T18" i="27"/>
  <c r="R18" i="27"/>
  <c r="Q18" i="27"/>
  <c r="O18" i="27"/>
  <c r="M18" i="27"/>
  <c r="H18" i="27"/>
  <c r="G18" i="27"/>
  <c r="F18" i="27"/>
  <c r="AY17" i="27"/>
  <c r="AQ17" i="27"/>
  <c r="AP17" i="27"/>
  <c r="X17" i="27"/>
  <c r="AY16" i="27"/>
  <c r="AQ16" i="27"/>
  <c r="AQ14" i="27" s="1"/>
  <c r="AP16" i="27"/>
  <c r="X16" i="27"/>
  <c r="AQ15" i="27"/>
  <c r="G15" i="27"/>
  <c r="I15" i="27" s="1"/>
  <c r="BA14" i="27"/>
  <c r="AS14" i="27"/>
  <c r="AR14" i="27"/>
  <c r="AO14" i="27"/>
  <c r="AN14" i="27"/>
  <c r="AM14" i="27"/>
  <c r="AL14" i="27"/>
  <c r="AK14" i="27"/>
  <c r="AJ14" i="27"/>
  <c r="AI14" i="27"/>
  <c r="AH14" i="27"/>
  <c r="AG14" i="27"/>
  <c r="AF14" i="27"/>
  <c r="AE14" i="27"/>
  <c r="AD14" i="27"/>
  <c r="AC14" i="27"/>
  <c r="AB14" i="27"/>
  <c r="AA14" i="27"/>
  <c r="Z14" i="27"/>
  <c r="Y14" i="27"/>
  <c r="W14" i="27"/>
  <c r="U14" i="27"/>
  <c r="T14" i="27"/>
  <c r="R14" i="27"/>
  <c r="Q14" i="27"/>
  <c r="O14" i="27"/>
  <c r="M14" i="27"/>
  <c r="H14" i="27"/>
  <c r="F14" i="27"/>
  <c r="F22" i="20"/>
  <c r="Y22" i="20" s="1"/>
  <c r="F21" i="20"/>
  <c r="Y21" i="20" s="1"/>
  <c r="F20" i="20"/>
  <c r="R20" i="20" s="1"/>
  <c r="F19" i="20"/>
  <c r="Y19" i="20" s="1"/>
  <c r="F18" i="20"/>
  <c r="Y18" i="20" s="1"/>
  <c r="R17" i="20"/>
  <c r="U17" i="20" s="1"/>
  <c r="H17" i="20"/>
  <c r="F17" i="20"/>
  <c r="Y17" i="20" s="1"/>
  <c r="R16" i="20"/>
  <c r="F16" i="20"/>
  <c r="H16" i="20" s="1"/>
  <c r="F15" i="20"/>
  <c r="Y15" i="20" s="1"/>
  <c r="AA14" i="20"/>
  <c r="T14" i="20"/>
  <c r="S14" i="20"/>
  <c r="Q14" i="20"/>
  <c r="P14" i="20"/>
  <c r="N14" i="20"/>
  <c r="M14" i="20"/>
  <c r="L14" i="20"/>
  <c r="K14" i="20"/>
  <c r="J14" i="20"/>
  <c r="I14" i="20"/>
  <c r="F14" i="20"/>
  <c r="E14" i="20"/>
  <c r="D14" i="20"/>
  <c r="AS18" i="17"/>
  <c r="F23" i="17"/>
  <c r="H23" i="17" s="1"/>
  <c r="F22" i="17"/>
  <c r="H22" i="17" s="1"/>
  <c r="AI22" i="17" s="1"/>
  <c r="F21" i="17"/>
  <c r="H21" i="17" s="1"/>
  <c r="F20" i="17"/>
  <c r="H20" i="17" s="1"/>
  <c r="F19" i="17"/>
  <c r="H19" i="17" s="1"/>
  <c r="AL18" i="17"/>
  <c r="AK18" i="17"/>
  <c r="AJ18" i="17"/>
  <c r="AH18" i="17"/>
  <c r="AG18" i="17"/>
  <c r="AF18" i="17"/>
  <c r="AE18" i="17"/>
  <c r="AD18" i="17"/>
  <c r="AC18" i="17"/>
  <c r="AB18" i="17"/>
  <c r="AA18" i="17"/>
  <c r="Z18" i="17"/>
  <c r="Y18" i="17"/>
  <c r="X18" i="17"/>
  <c r="U18" i="17"/>
  <c r="T18" i="17"/>
  <c r="S18" i="17"/>
  <c r="R18" i="17"/>
  <c r="Q18" i="17"/>
  <c r="P18" i="17"/>
  <c r="O18" i="17"/>
  <c r="N18" i="17"/>
  <c r="M18" i="17"/>
  <c r="L18" i="17"/>
  <c r="K18" i="17"/>
  <c r="G18" i="17"/>
  <c r="E18" i="17"/>
  <c r="D18" i="17"/>
  <c r="H17" i="17"/>
  <c r="AI17" i="17" s="1"/>
  <c r="F17" i="17"/>
  <c r="F16" i="17"/>
  <c r="H16" i="17" s="1"/>
  <c r="F15" i="17"/>
  <c r="H15" i="17" s="1"/>
  <c r="AS14" i="17"/>
  <c r="AL14" i="17"/>
  <c r="AK14" i="17"/>
  <c r="AJ14" i="17"/>
  <c r="AH14" i="17"/>
  <c r="AG14" i="17"/>
  <c r="AF14" i="17"/>
  <c r="AE14" i="17"/>
  <c r="AD14" i="17"/>
  <c r="AB14" i="17"/>
  <c r="AA14" i="17"/>
  <c r="Z14" i="17"/>
  <c r="Y14" i="17"/>
  <c r="X14" i="17"/>
  <c r="W14" i="17"/>
  <c r="V14" i="17"/>
  <c r="U14" i="17"/>
  <c r="T14" i="17"/>
  <c r="S14" i="17"/>
  <c r="R14" i="17"/>
  <c r="Q14" i="17"/>
  <c r="P14" i="17"/>
  <c r="O14" i="17"/>
  <c r="N14" i="17"/>
  <c r="M14" i="17"/>
  <c r="L14" i="17"/>
  <c r="K14" i="17"/>
  <c r="G14" i="17"/>
  <c r="E14" i="17"/>
  <c r="D14" i="17"/>
  <c r="F23" i="18"/>
  <c r="H23" i="18" s="1"/>
  <c r="F22" i="18"/>
  <c r="H22" i="18" s="1"/>
  <c r="F21" i="18"/>
  <c r="H21" i="18" s="1"/>
  <c r="F20" i="18"/>
  <c r="H20" i="18" s="1"/>
  <c r="F19" i="18"/>
  <c r="H19" i="18" s="1"/>
  <c r="F18" i="18"/>
  <c r="H18" i="18" s="1"/>
  <c r="F17" i="18"/>
  <c r="H17" i="18" s="1"/>
  <c r="F16" i="18"/>
  <c r="H16" i="18" s="1"/>
  <c r="F15" i="18"/>
  <c r="H15" i="18" s="1"/>
  <c r="AA14" i="18"/>
  <c r="U14" i="18"/>
  <c r="T14" i="18"/>
  <c r="P14" i="18"/>
  <c r="M14" i="18"/>
  <c r="L14" i="18"/>
  <c r="K14" i="18"/>
  <c r="G14" i="18"/>
  <c r="E14" i="18"/>
  <c r="D14" i="18"/>
  <c r="J15" i="29" l="1"/>
  <c r="J14" i="29" s="1"/>
  <c r="H14" i="29"/>
  <c r="F14" i="18"/>
  <c r="F18" i="17"/>
  <c r="Y20" i="20"/>
  <c r="Y16" i="20"/>
  <c r="H20" i="20"/>
  <c r="U20" i="20" s="1"/>
  <c r="H22" i="20"/>
  <c r="H18" i="20"/>
  <c r="H21" i="20"/>
  <c r="U16" i="20"/>
  <c r="V16" i="20" s="1"/>
  <c r="Z16" i="20" s="1"/>
  <c r="R21" i="20"/>
  <c r="U21" i="20" s="1"/>
  <c r="AT16" i="27"/>
  <c r="AU16" i="27" s="1"/>
  <c r="AT17" i="27"/>
  <c r="AU17" i="27" s="1"/>
  <c r="AQ18" i="27"/>
  <c r="AU21" i="27"/>
  <c r="G14" i="27"/>
  <c r="AU20" i="27"/>
  <c r="AU22" i="27"/>
  <c r="AV22" i="27" s="1"/>
  <c r="AZ22" i="27" s="1"/>
  <c r="I14" i="29"/>
  <c r="Z16" i="29"/>
  <c r="O16" i="29"/>
  <c r="AB14" i="29"/>
  <c r="Z20" i="29"/>
  <c r="O20" i="29"/>
  <c r="O23" i="29"/>
  <c r="Z23" i="29"/>
  <c r="L25" i="29"/>
  <c r="M25" i="29"/>
  <c r="Z17" i="29"/>
  <c r="M27" i="29"/>
  <c r="J26" i="29"/>
  <c r="M28" i="29"/>
  <c r="L28" i="29"/>
  <c r="M19" i="29"/>
  <c r="L15" i="29"/>
  <c r="O17" i="29"/>
  <c r="L29" i="29"/>
  <c r="M29" i="29" s="1"/>
  <c r="L21" i="29"/>
  <c r="M21" i="29" s="1"/>
  <c r="J22" i="29"/>
  <c r="L24" i="29"/>
  <c r="L22" i="29" s="1"/>
  <c r="L27" i="29"/>
  <c r="J18" i="29"/>
  <c r="AV20" i="27"/>
  <c r="AZ20" i="27" s="1"/>
  <c r="K15" i="27"/>
  <c r="K14" i="27" s="1"/>
  <c r="AY15" i="27"/>
  <c r="AY14" i="27" s="1"/>
  <c r="V15" i="27"/>
  <c r="V14" i="27" s="1"/>
  <c r="AP15" i="27"/>
  <c r="AP14" i="27" s="1"/>
  <c r="I14" i="27"/>
  <c r="AV23" i="27"/>
  <c r="AZ23" i="27" s="1"/>
  <c r="AW23" i="27"/>
  <c r="AX23" i="27" s="1"/>
  <c r="BB23" i="27"/>
  <c r="AM19" i="27"/>
  <c r="AM18" i="27" s="1"/>
  <c r="AY19" i="27"/>
  <c r="AY18" i="27" s="1"/>
  <c r="AK19" i="27"/>
  <c r="AK18" i="27" s="1"/>
  <c r="I18" i="27"/>
  <c r="K19" i="27"/>
  <c r="K18" i="27" s="1"/>
  <c r="AI19" i="27"/>
  <c r="AI18" i="27" s="1"/>
  <c r="AP19" i="27"/>
  <c r="AP18" i="27" s="1"/>
  <c r="AV16" i="27"/>
  <c r="AZ16" i="27" s="1"/>
  <c r="AV17" i="27"/>
  <c r="AZ17" i="27" s="1"/>
  <c r="AV21" i="27"/>
  <c r="AZ21" i="27" s="1"/>
  <c r="X14" i="27"/>
  <c r="Y14" i="20"/>
  <c r="V17" i="20"/>
  <c r="Z17" i="20" s="1"/>
  <c r="H15" i="20"/>
  <c r="H14" i="20" s="1"/>
  <c r="R18" i="20"/>
  <c r="U18" i="20" s="1"/>
  <c r="H19" i="20"/>
  <c r="R22" i="20"/>
  <c r="U22" i="20" s="1"/>
  <c r="R15" i="20"/>
  <c r="R19" i="20"/>
  <c r="U19" i="20" s="1"/>
  <c r="AQ19" i="17"/>
  <c r="W19" i="17"/>
  <c r="J19" i="17"/>
  <c r="AI19" i="17"/>
  <c r="H18" i="17"/>
  <c r="J20" i="17"/>
  <c r="W20" i="17"/>
  <c r="AQ20" i="17"/>
  <c r="AI20" i="17"/>
  <c r="AQ23" i="17"/>
  <c r="AI23" i="17"/>
  <c r="W23" i="17"/>
  <c r="J23" i="17"/>
  <c r="J15" i="17"/>
  <c r="AC15" i="17"/>
  <c r="AQ15" i="17"/>
  <c r="AI15" i="17"/>
  <c r="H14" i="17"/>
  <c r="W21" i="17"/>
  <c r="AQ21" i="17"/>
  <c r="J21" i="17"/>
  <c r="AI21" i="17"/>
  <c r="AC16" i="17"/>
  <c r="AQ16" i="17"/>
  <c r="AI16" i="17"/>
  <c r="J16" i="17"/>
  <c r="AQ17" i="17"/>
  <c r="AQ22" i="17"/>
  <c r="F14" i="17"/>
  <c r="AC17" i="17"/>
  <c r="W22" i="17"/>
  <c r="AM22" i="17" s="1"/>
  <c r="J17" i="17"/>
  <c r="J22" i="17"/>
  <c r="O16" i="18"/>
  <c r="Q16" i="18"/>
  <c r="Y16" i="18"/>
  <c r="Z16" i="18" s="1"/>
  <c r="J16" i="18"/>
  <c r="O17" i="18"/>
  <c r="Y17" i="18"/>
  <c r="Z17" i="18" s="1"/>
  <c r="J17" i="18"/>
  <c r="R17" i="18" s="1"/>
  <c r="Q17" i="18"/>
  <c r="O21" i="18"/>
  <c r="Y21" i="18"/>
  <c r="Z21" i="18" s="1"/>
  <c r="S21" i="18"/>
  <c r="J21" i="18"/>
  <c r="R21" i="18"/>
  <c r="Q21" i="18"/>
  <c r="O20" i="18"/>
  <c r="Y20" i="18"/>
  <c r="Z20" i="18" s="1"/>
  <c r="J20" i="18"/>
  <c r="S20" i="18" s="1"/>
  <c r="Q20" i="18"/>
  <c r="O18" i="18"/>
  <c r="Y18" i="18"/>
  <c r="Z18" i="18" s="1"/>
  <c r="J18" i="18"/>
  <c r="S18" i="18" s="1"/>
  <c r="Q18" i="18"/>
  <c r="O22" i="18"/>
  <c r="Y22" i="18"/>
  <c r="Z22" i="18" s="1"/>
  <c r="J22" i="18"/>
  <c r="R22" i="18" s="1"/>
  <c r="Q22" i="18"/>
  <c r="O15" i="18"/>
  <c r="Y15" i="18"/>
  <c r="S15" i="18"/>
  <c r="J15" i="18"/>
  <c r="H14" i="18"/>
  <c r="Q15" i="18"/>
  <c r="R15" i="18"/>
  <c r="O19" i="18"/>
  <c r="Y19" i="18"/>
  <c r="Z19" i="18" s="1"/>
  <c r="S19" i="18"/>
  <c r="J19" i="18"/>
  <c r="R19" i="18" s="1"/>
  <c r="Q19" i="18"/>
  <c r="O23" i="18"/>
  <c r="Q23" i="18"/>
  <c r="Y23" i="18"/>
  <c r="Z23" i="18" s="1"/>
  <c r="J23" i="18"/>
  <c r="R23" i="18" s="1"/>
  <c r="F22" i="30"/>
  <c r="P22" i="30" s="1"/>
  <c r="AD21" i="30"/>
  <c r="F21" i="30"/>
  <c r="AC21" i="30" s="1"/>
  <c r="AC20" i="30"/>
  <c r="AD20" i="30" s="1"/>
  <c r="P20" i="30"/>
  <c r="H20" i="30"/>
  <c r="F20" i="30"/>
  <c r="U20" i="30" s="1"/>
  <c r="F19" i="30"/>
  <c r="U19" i="30" s="1"/>
  <c r="F18" i="30"/>
  <c r="P18" i="30" s="1"/>
  <c r="S17" i="30"/>
  <c r="F17" i="30"/>
  <c r="AC17" i="30" s="1"/>
  <c r="AD17" i="30" s="1"/>
  <c r="V16" i="30"/>
  <c r="H16" i="30"/>
  <c r="F16" i="30"/>
  <c r="U16" i="30" s="1"/>
  <c r="U15" i="30"/>
  <c r="F15" i="30"/>
  <c r="Q15" i="30" s="1"/>
  <c r="F14" i="30"/>
  <c r="P14" i="30" s="1"/>
  <c r="R13" i="30"/>
  <c r="AE12" i="30"/>
  <c r="X12" i="30"/>
  <c r="W12" i="30"/>
  <c r="N12" i="30"/>
  <c r="M12" i="30"/>
  <c r="L12" i="30"/>
  <c r="K12" i="30"/>
  <c r="J12" i="30"/>
  <c r="I12" i="30"/>
  <c r="AJ26" i="13"/>
  <c r="H26" i="13"/>
  <c r="AJ25" i="13"/>
  <c r="H25" i="13"/>
  <c r="M25" i="13" s="1"/>
  <c r="AJ24" i="13"/>
  <c r="H24" i="13"/>
  <c r="M24" i="13" s="1"/>
  <c r="AJ23" i="13"/>
  <c r="H23" i="13"/>
  <c r="M23" i="13" s="1"/>
  <c r="AJ22" i="13"/>
  <c r="H22" i="13"/>
  <c r="AJ21" i="13"/>
  <c r="M21" i="13"/>
  <c r="K21" i="13"/>
  <c r="H21" i="13"/>
  <c r="AJ20" i="13"/>
  <c r="H20" i="13"/>
  <c r="K20" i="13" s="1"/>
  <c r="AJ19" i="13"/>
  <c r="H19" i="13"/>
  <c r="AM18" i="13"/>
  <c r="AM17" i="13" s="1"/>
  <c r="AL18" i="13"/>
  <c r="AL17" i="13" s="1"/>
  <c r="AJ18" i="13"/>
  <c r="AD18" i="13"/>
  <c r="AB18" i="13"/>
  <c r="Q18" i="13"/>
  <c r="O18" i="13"/>
  <c r="L18" i="13"/>
  <c r="H18" i="13"/>
  <c r="M18" i="13" s="1"/>
  <c r="BA17" i="13"/>
  <c r="AV17" i="13"/>
  <c r="AS17" i="13"/>
  <c r="AR17" i="13"/>
  <c r="AQ17" i="13"/>
  <c r="AK17" i="13"/>
  <c r="AI17" i="13"/>
  <c r="AG17" i="13"/>
  <c r="AF17" i="13"/>
  <c r="X17" i="13"/>
  <c r="W17" i="13"/>
  <c r="V17" i="13"/>
  <c r="U17" i="13"/>
  <c r="T17" i="13"/>
  <c r="S17" i="13"/>
  <c r="I17" i="13"/>
  <c r="G17" i="13"/>
  <c r="F17" i="13"/>
  <c r="AJ16" i="13"/>
  <c r="N16" i="13"/>
  <c r="AJ15" i="13"/>
  <c r="AJ14" i="13" s="1"/>
  <c r="N15" i="13"/>
  <c r="BA14" i="13"/>
  <c r="AT14" i="13"/>
  <c r="AS14" i="13"/>
  <c r="AR14" i="13"/>
  <c r="AQ14" i="13"/>
  <c r="AP14" i="13"/>
  <c r="AO14" i="13"/>
  <c r="AN14" i="13"/>
  <c r="AM14" i="13"/>
  <c r="AL14" i="13"/>
  <c r="AK14" i="13"/>
  <c r="AI14" i="13"/>
  <c r="AH14" i="13"/>
  <c r="AG14" i="13"/>
  <c r="AF14" i="13"/>
  <c r="AE14" i="13"/>
  <c r="AD14" i="13"/>
  <c r="AB14" i="13"/>
  <c r="AA14" i="13"/>
  <c r="Y14" i="13"/>
  <c r="X14" i="13"/>
  <c r="W14" i="13"/>
  <c r="V14" i="13"/>
  <c r="U14" i="13"/>
  <c r="T14" i="13"/>
  <c r="S14" i="13"/>
  <c r="Q14" i="13"/>
  <c r="O14" i="13"/>
  <c r="M14" i="13"/>
  <c r="L14" i="13"/>
  <c r="K14" i="13"/>
  <c r="J14" i="13"/>
  <c r="I14" i="13"/>
  <c r="F14" i="13"/>
  <c r="AH24" i="19"/>
  <c r="Y24" i="19"/>
  <c r="Q24" i="19"/>
  <c r="H24" i="19"/>
  <c r="F24" i="19"/>
  <c r="W24" i="19" s="1"/>
  <c r="F23" i="19"/>
  <c r="AH23" i="19" s="1"/>
  <c r="Y22" i="19"/>
  <c r="Q22" i="19"/>
  <c r="F22" i="19"/>
  <c r="X22" i="19" s="1"/>
  <c r="F21" i="19"/>
  <c r="W21" i="19" s="1"/>
  <c r="U20" i="19"/>
  <c r="F20" i="19"/>
  <c r="AH20" i="19" s="1"/>
  <c r="F19" i="19"/>
  <c r="W18" i="19"/>
  <c r="V18" i="19"/>
  <c r="P18" i="19"/>
  <c r="H18" i="19"/>
  <c r="F18" i="19"/>
  <c r="X18" i="19" s="1"/>
  <c r="F17" i="19"/>
  <c r="W17" i="19" s="1"/>
  <c r="U16" i="19"/>
  <c r="F16" i="19"/>
  <c r="AH16" i="19" s="1"/>
  <c r="T15" i="19"/>
  <c r="R15" i="19"/>
  <c r="O15" i="19"/>
  <c r="G15" i="19"/>
  <c r="F15" i="19"/>
  <c r="X15" i="19" s="1"/>
  <c r="AJ14" i="19"/>
  <c r="AE14" i="19"/>
  <c r="AB14" i="19"/>
  <c r="AA14" i="19"/>
  <c r="Z14" i="19"/>
  <c r="N14" i="19"/>
  <c r="M14" i="19"/>
  <c r="L14" i="19"/>
  <c r="J14" i="19"/>
  <c r="E14" i="19"/>
  <c r="D14" i="19"/>
  <c r="I23" i="15"/>
  <c r="L23" i="15" s="1"/>
  <c r="I22" i="15"/>
  <c r="L22" i="15" s="1"/>
  <c r="L21" i="15"/>
  <c r="AE21" i="15" s="1"/>
  <c r="I21" i="15"/>
  <c r="L20" i="15"/>
  <c r="AG20" i="15" s="1"/>
  <c r="I20" i="15"/>
  <c r="AR19" i="15"/>
  <c r="AK19" i="15"/>
  <c r="AJ19" i="15"/>
  <c r="AH19" i="15"/>
  <c r="AF19" i="15"/>
  <c r="AB19" i="15"/>
  <c r="Z19" i="15"/>
  <c r="X19" i="15"/>
  <c r="U19" i="15"/>
  <c r="T19" i="15"/>
  <c r="S19" i="15"/>
  <c r="R19" i="15"/>
  <c r="Q19" i="15"/>
  <c r="P19" i="15"/>
  <c r="O19" i="15"/>
  <c r="M19" i="15"/>
  <c r="I19" i="15"/>
  <c r="H19" i="15"/>
  <c r="G19" i="15"/>
  <c r="I18" i="15"/>
  <c r="I17" i="15"/>
  <c r="K16" i="15"/>
  <c r="L16" i="15" s="1"/>
  <c r="I16" i="15"/>
  <c r="AB15" i="15"/>
  <c r="G15" i="15"/>
  <c r="AR14" i="15"/>
  <c r="AK14" i="15"/>
  <c r="AJ14" i="15"/>
  <c r="AI14" i="15"/>
  <c r="AH14" i="15"/>
  <c r="AE14" i="15"/>
  <c r="AD14" i="15"/>
  <c r="T14" i="15"/>
  <c r="S14" i="15"/>
  <c r="R14" i="15"/>
  <c r="Q14" i="15"/>
  <c r="P14" i="15"/>
  <c r="O14" i="15"/>
  <c r="M14" i="15"/>
  <c r="J14" i="15"/>
  <c r="G14" i="15"/>
  <c r="E20" i="21"/>
  <c r="G20" i="21"/>
  <c r="I20" i="21"/>
  <c r="J20" i="21"/>
  <c r="M20" i="21"/>
  <c r="N20" i="21"/>
  <c r="U20" i="21"/>
  <c r="D20" i="21"/>
  <c r="E14" i="21"/>
  <c r="I14" i="21"/>
  <c r="J14" i="21"/>
  <c r="M14" i="21"/>
  <c r="N14" i="21"/>
  <c r="U14" i="21"/>
  <c r="D14" i="21"/>
  <c r="F24" i="21"/>
  <c r="H24" i="21" s="1"/>
  <c r="L24" i="21" s="1"/>
  <c r="F23" i="21"/>
  <c r="K22" i="21"/>
  <c r="F22" i="21"/>
  <c r="H22" i="21" s="1"/>
  <c r="L22" i="21" s="1"/>
  <c r="F21" i="21"/>
  <c r="S21" i="21" s="1"/>
  <c r="F19" i="21"/>
  <c r="H19" i="21" s="1"/>
  <c r="F18" i="21"/>
  <c r="H18" i="21" s="1"/>
  <c r="L18" i="21" s="1"/>
  <c r="F17" i="21"/>
  <c r="K16" i="21"/>
  <c r="F16" i="21"/>
  <c r="H16" i="21" s="1"/>
  <c r="L16" i="21" s="1"/>
  <c r="G15" i="21"/>
  <c r="H15" i="21" s="1"/>
  <c r="F15" i="21"/>
  <c r="F14" i="21" s="1"/>
  <c r="F21" i="23"/>
  <c r="F20" i="23" s="1"/>
  <c r="Y27" i="23"/>
  <c r="X27" i="23"/>
  <c r="Z27" i="23" s="1"/>
  <c r="F24" i="23"/>
  <c r="G23" i="23"/>
  <c r="H23" i="23" s="1"/>
  <c r="F23" i="23"/>
  <c r="F22" i="23"/>
  <c r="G22" i="23" s="1"/>
  <c r="H22" i="23" s="1"/>
  <c r="J22" i="23" s="1"/>
  <c r="R20" i="23"/>
  <c r="Q20" i="23"/>
  <c r="P20" i="23"/>
  <c r="N20" i="23"/>
  <c r="M20" i="23"/>
  <c r="F19" i="23"/>
  <c r="F18" i="23"/>
  <c r="G18" i="23" s="1"/>
  <c r="H18" i="23" s="1"/>
  <c r="L18" i="23" s="1"/>
  <c r="F17" i="23"/>
  <c r="F16" i="23"/>
  <c r="G16" i="23" s="1"/>
  <c r="H16" i="23" s="1"/>
  <c r="L16" i="23" s="1"/>
  <c r="F15" i="23"/>
  <c r="G15" i="23" s="1"/>
  <c r="R14" i="23"/>
  <c r="Q14" i="23"/>
  <c r="N14" i="23"/>
  <c r="M14" i="23"/>
  <c r="E14" i="23"/>
  <c r="D14" i="23"/>
  <c r="F22" i="26"/>
  <c r="N22" i="26" s="1"/>
  <c r="F21" i="26"/>
  <c r="N21" i="26" s="1"/>
  <c r="F20" i="26"/>
  <c r="W20" i="26" s="1"/>
  <c r="X20" i="26" s="1"/>
  <c r="F19" i="26"/>
  <c r="W19" i="26" s="1"/>
  <c r="X19" i="26" s="1"/>
  <c r="F18" i="26"/>
  <c r="I18" i="26" s="1"/>
  <c r="F16" i="26"/>
  <c r="W16" i="26" s="1"/>
  <c r="X16" i="26" s="1"/>
  <c r="F15" i="26"/>
  <c r="M15" i="26" s="1"/>
  <c r="N14" i="26"/>
  <c r="F14" i="26"/>
  <c r="K14" i="26" s="1"/>
  <c r="J23" i="23" l="1"/>
  <c r="L23" i="23"/>
  <c r="H24" i="23"/>
  <c r="W24" i="23" s="1"/>
  <c r="F14" i="23"/>
  <c r="E20" i="23"/>
  <c r="G24" i="23"/>
  <c r="L22" i="23"/>
  <c r="H15" i="23"/>
  <c r="L15" i="23" s="1"/>
  <c r="K15" i="21"/>
  <c r="F20" i="21"/>
  <c r="S15" i="21"/>
  <c r="K18" i="21"/>
  <c r="K24" i="21"/>
  <c r="S23" i="18"/>
  <c r="O14" i="18"/>
  <c r="V21" i="18"/>
  <c r="V18" i="18"/>
  <c r="V23" i="18"/>
  <c r="V19" i="18"/>
  <c r="R18" i="18"/>
  <c r="AM17" i="17"/>
  <c r="AM21" i="17"/>
  <c r="V20" i="20"/>
  <c r="Z20" i="20" s="1"/>
  <c r="W20" i="20"/>
  <c r="X20" i="20" s="1"/>
  <c r="V21" i="20"/>
  <c r="Z21" i="20" s="1"/>
  <c r="AF16" i="15"/>
  <c r="N20" i="15"/>
  <c r="AI20" i="15"/>
  <c r="AC20" i="15"/>
  <c r="V20" i="15"/>
  <c r="AP20" i="15"/>
  <c r="AA20" i="15"/>
  <c r="W16" i="19"/>
  <c r="P17" i="19"/>
  <c r="W20" i="19"/>
  <c r="U22" i="19"/>
  <c r="AH22" i="19"/>
  <c r="H16" i="19"/>
  <c r="Y16" i="19"/>
  <c r="V17" i="19"/>
  <c r="Q18" i="19"/>
  <c r="Y18" i="19"/>
  <c r="H20" i="19"/>
  <c r="Y20" i="19"/>
  <c r="H22" i="19"/>
  <c r="V22" i="19"/>
  <c r="U24" i="19"/>
  <c r="Q16" i="19"/>
  <c r="U18" i="19"/>
  <c r="AH18" i="19"/>
  <c r="Q20" i="19"/>
  <c r="P22" i="19"/>
  <c r="W22" i="19"/>
  <c r="M20" i="13"/>
  <c r="N20" i="13" s="1"/>
  <c r="K24" i="13"/>
  <c r="N24" i="13" s="1"/>
  <c r="G14" i="13"/>
  <c r="K25" i="13"/>
  <c r="N25" i="13" s="1"/>
  <c r="N21" i="13"/>
  <c r="AC16" i="30"/>
  <c r="AD16" i="30" s="1"/>
  <c r="Q19" i="30"/>
  <c r="S20" i="30"/>
  <c r="P21" i="30"/>
  <c r="S16" i="30"/>
  <c r="P17" i="30"/>
  <c r="V20" i="30"/>
  <c r="S21" i="30"/>
  <c r="AW22" i="27"/>
  <c r="AX22" i="27" s="1"/>
  <c r="AU19" i="27"/>
  <c r="Z21" i="29"/>
  <c r="O21" i="29"/>
  <c r="O29" i="29"/>
  <c r="Z29" i="29"/>
  <c r="Z27" i="29"/>
  <c r="O27" i="29"/>
  <c r="M26" i="29"/>
  <c r="AQ17" i="29"/>
  <c r="AQ23" i="29"/>
  <c r="AQ20" i="29"/>
  <c r="L14" i="29"/>
  <c r="M15" i="29"/>
  <c r="AU15" i="29" s="1"/>
  <c r="O28" i="29"/>
  <c r="Z28" i="29"/>
  <c r="AQ28" i="29" s="1"/>
  <c r="M24" i="29"/>
  <c r="Z19" i="29"/>
  <c r="O19" i="29"/>
  <c r="O18" i="29" s="1"/>
  <c r="M18" i="29"/>
  <c r="O25" i="29"/>
  <c r="Z25" i="29"/>
  <c r="AQ25" i="29" s="1"/>
  <c r="L26" i="29"/>
  <c r="L18" i="29"/>
  <c r="AQ16" i="29"/>
  <c r="AV19" i="27"/>
  <c r="AU18" i="27"/>
  <c r="AT15" i="27"/>
  <c r="AW17" i="27"/>
  <c r="AX17" i="27" s="1"/>
  <c r="AW21" i="27"/>
  <c r="AX21" i="27" s="1"/>
  <c r="AW20" i="27"/>
  <c r="AX20" i="27" s="1"/>
  <c r="BD23" i="27"/>
  <c r="BE23" i="27" s="1"/>
  <c r="BC23" i="27"/>
  <c r="AW16" i="27"/>
  <c r="V22" i="20"/>
  <c r="Z22" i="20" s="1"/>
  <c r="W16" i="20"/>
  <c r="X16" i="20" s="1"/>
  <c r="V19" i="20"/>
  <c r="Z19" i="20" s="1"/>
  <c r="U15" i="20"/>
  <c r="R14" i="20"/>
  <c r="V18" i="20"/>
  <c r="Z18" i="20" s="1"/>
  <c r="W17" i="20"/>
  <c r="X17" i="20" s="1"/>
  <c r="AN22" i="17"/>
  <c r="AR22" i="17" s="1"/>
  <c r="AN17" i="17"/>
  <c r="AR17" i="17" s="1"/>
  <c r="AN21" i="17"/>
  <c r="AR21" i="17" s="1"/>
  <c r="J14" i="17"/>
  <c r="AM16" i="17"/>
  <c r="AM20" i="17"/>
  <c r="J18" i="17"/>
  <c r="AQ14" i="17"/>
  <c r="W18" i="17"/>
  <c r="AM19" i="17"/>
  <c r="AI18" i="17"/>
  <c r="AM15" i="17"/>
  <c r="AI14" i="17"/>
  <c r="AC14" i="17"/>
  <c r="AM23" i="17"/>
  <c r="AQ18" i="17"/>
  <c r="W23" i="18"/>
  <c r="X23" i="18" s="1"/>
  <c r="W19" i="18"/>
  <c r="X19" i="18" s="1"/>
  <c r="W21" i="18"/>
  <c r="X21" i="18" s="1"/>
  <c r="J14" i="18"/>
  <c r="V15" i="18"/>
  <c r="S22" i="18"/>
  <c r="V22" i="18" s="1"/>
  <c r="R20" i="18"/>
  <c r="V20" i="18" s="1"/>
  <c r="S17" i="18"/>
  <c r="V17" i="18" s="1"/>
  <c r="R16" i="18"/>
  <c r="V16" i="18" s="1"/>
  <c r="Q14" i="18"/>
  <c r="Z15" i="18"/>
  <c r="Z14" i="18" s="1"/>
  <c r="Y14" i="18"/>
  <c r="S16" i="18"/>
  <c r="S14" i="18" s="1"/>
  <c r="P19" i="30"/>
  <c r="AC19" i="30"/>
  <c r="AD19" i="30" s="1"/>
  <c r="V19" i="30"/>
  <c r="H19" i="30"/>
  <c r="S19" i="30"/>
  <c r="P15" i="30"/>
  <c r="AC15" i="30"/>
  <c r="AD15" i="30" s="1"/>
  <c r="V15" i="30"/>
  <c r="H15" i="30"/>
  <c r="S15" i="30"/>
  <c r="H14" i="30"/>
  <c r="V14" i="30"/>
  <c r="AC14" i="30"/>
  <c r="AD14" i="30" s="1"/>
  <c r="P16" i="30"/>
  <c r="Q17" i="30"/>
  <c r="U17" i="30"/>
  <c r="H18" i="30"/>
  <c r="Y18" i="30" s="1"/>
  <c r="V18" i="30"/>
  <c r="AC18" i="30"/>
  <c r="AD18" i="30" s="1"/>
  <c r="Q21" i="30"/>
  <c r="U21" i="30"/>
  <c r="H22" i="30"/>
  <c r="V22" i="30"/>
  <c r="AC22" i="30"/>
  <c r="AD22" i="30" s="1"/>
  <c r="Q14" i="30"/>
  <c r="U14" i="30"/>
  <c r="Q18" i="30"/>
  <c r="U18" i="30"/>
  <c r="Q22" i="30"/>
  <c r="U22" i="30"/>
  <c r="S14" i="30"/>
  <c r="Q16" i="30"/>
  <c r="H17" i="30"/>
  <c r="V17" i="30"/>
  <c r="S18" i="30"/>
  <c r="Q20" i="30"/>
  <c r="Y20" i="30" s="1"/>
  <c r="H21" i="30"/>
  <c r="V21" i="30"/>
  <c r="S22" i="30"/>
  <c r="Z15" i="13"/>
  <c r="AY15" i="13"/>
  <c r="R15" i="13"/>
  <c r="N14" i="13"/>
  <c r="AC15" i="13"/>
  <c r="P15" i="13"/>
  <c r="Z16" i="13"/>
  <c r="AY16" i="13"/>
  <c r="R16" i="13"/>
  <c r="K26" i="13"/>
  <c r="N26" i="13" s="1"/>
  <c r="AN26" i="13" s="1"/>
  <c r="M26" i="13"/>
  <c r="H14" i="13"/>
  <c r="P16" i="13"/>
  <c r="AU16" i="13" s="1"/>
  <c r="K18" i="13"/>
  <c r="H17" i="13"/>
  <c r="M22" i="13"/>
  <c r="N22" i="13" s="1"/>
  <c r="K22" i="13"/>
  <c r="AJ17" i="13"/>
  <c r="AC21" i="13"/>
  <c r="AA21" i="13"/>
  <c r="AC16" i="13"/>
  <c r="M19" i="13"/>
  <c r="M17" i="13" s="1"/>
  <c r="K19" i="13"/>
  <c r="K23" i="13"/>
  <c r="N23" i="13" s="1"/>
  <c r="AH19" i="19"/>
  <c r="Y19" i="19"/>
  <c r="U19" i="19"/>
  <c r="H19" i="19"/>
  <c r="W19" i="19"/>
  <c r="Q19" i="19"/>
  <c r="V19" i="19"/>
  <c r="P19" i="19"/>
  <c r="X19" i="19"/>
  <c r="S19" i="19"/>
  <c r="AH15" i="19"/>
  <c r="Y15" i="19"/>
  <c r="U15" i="19"/>
  <c r="Q15" i="19"/>
  <c r="W15" i="19"/>
  <c r="S15" i="19"/>
  <c r="V15" i="19"/>
  <c r="H15" i="19"/>
  <c r="F14" i="19"/>
  <c r="P15" i="19"/>
  <c r="S17" i="19"/>
  <c r="X17" i="19"/>
  <c r="S21" i="19"/>
  <c r="X21" i="19"/>
  <c r="P23" i="19"/>
  <c r="V23" i="19"/>
  <c r="S16" i="19"/>
  <c r="X16" i="19"/>
  <c r="X14" i="19" s="1"/>
  <c r="H17" i="19"/>
  <c r="U17" i="19"/>
  <c r="Y17" i="19"/>
  <c r="AH17" i="19"/>
  <c r="S20" i="19"/>
  <c r="X20" i="19"/>
  <c r="H21" i="19"/>
  <c r="U21" i="19"/>
  <c r="Y21" i="19"/>
  <c r="AH21" i="19"/>
  <c r="Q23" i="19"/>
  <c r="W23" i="19"/>
  <c r="S24" i="19"/>
  <c r="X24" i="19"/>
  <c r="P21" i="19"/>
  <c r="V21" i="19"/>
  <c r="S23" i="19"/>
  <c r="X23" i="19"/>
  <c r="P16" i="19"/>
  <c r="V16" i="19"/>
  <c r="Q17" i="19"/>
  <c r="S18" i="19"/>
  <c r="P20" i="19"/>
  <c r="V20" i="19"/>
  <c r="AC20" i="19" s="1"/>
  <c r="AD20" i="19" s="1"/>
  <c r="AI20" i="19" s="1"/>
  <c r="Q21" i="19"/>
  <c r="S22" i="19"/>
  <c r="H23" i="19"/>
  <c r="U23" i="19"/>
  <c r="Y23" i="19"/>
  <c r="P24" i="19"/>
  <c r="AC24" i="19" s="1"/>
  <c r="AD24" i="19" s="1"/>
  <c r="AI24" i="19" s="1"/>
  <c r="V24" i="19"/>
  <c r="AP22" i="15"/>
  <c r="AC22" i="15"/>
  <c r="V22" i="15"/>
  <c r="AG22" i="15"/>
  <c r="AE22" i="15"/>
  <c r="AI22" i="15"/>
  <c r="AA22" i="15"/>
  <c r="N22" i="15"/>
  <c r="Y22" i="15"/>
  <c r="W22" i="15"/>
  <c r="I15" i="15"/>
  <c r="H14" i="15"/>
  <c r="AC16" i="15"/>
  <c r="V16" i="15"/>
  <c r="Y16" i="15"/>
  <c r="AP16" i="15"/>
  <c r="AA16" i="15"/>
  <c r="N16" i="15"/>
  <c r="AL16" i="15" s="1"/>
  <c r="AG16" i="15"/>
  <c r="AI23" i="15"/>
  <c r="AA23" i="15"/>
  <c r="N23" i="15"/>
  <c r="W23" i="15"/>
  <c r="AP23" i="15"/>
  <c r="AC23" i="15"/>
  <c r="V23" i="15"/>
  <c r="AG23" i="15"/>
  <c r="Y23" i="15"/>
  <c r="AE23" i="15"/>
  <c r="W16" i="15"/>
  <c r="K17" i="15"/>
  <c r="L17" i="15" s="1"/>
  <c r="AG21" i="15"/>
  <c r="AG19" i="15" s="1"/>
  <c r="L19" i="15"/>
  <c r="AA21" i="15"/>
  <c r="K18" i="15"/>
  <c r="L18" i="15" s="1"/>
  <c r="W20" i="15"/>
  <c r="AE20" i="15"/>
  <c r="V21" i="15"/>
  <c r="AC21" i="15"/>
  <c r="AP21" i="15"/>
  <c r="AP19" i="15" s="1"/>
  <c r="Y21" i="15"/>
  <c r="N21" i="15"/>
  <c r="AI21" i="15"/>
  <c r="Y20" i="15"/>
  <c r="W21" i="15"/>
  <c r="K17" i="21"/>
  <c r="K23" i="21"/>
  <c r="H23" i="21"/>
  <c r="L23" i="21" s="1"/>
  <c r="H17" i="21"/>
  <c r="H14" i="21" s="1"/>
  <c r="S23" i="21"/>
  <c r="S17" i="21"/>
  <c r="K21" i="21"/>
  <c r="H21" i="21"/>
  <c r="L15" i="21"/>
  <c r="L19" i="21"/>
  <c r="K19" i="21"/>
  <c r="S19" i="21"/>
  <c r="O16" i="21"/>
  <c r="S16" i="21"/>
  <c r="O18" i="21"/>
  <c r="S18" i="21"/>
  <c r="O22" i="21"/>
  <c r="S22" i="21"/>
  <c r="S20" i="21" s="1"/>
  <c r="O24" i="21"/>
  <c r="S24" i="21"/>
  <c r="H21" i="23"/>
  <c r="W18" i="23"/>
  <c r="J18" i="23"/>
  <c r="S18" i="23" s="1"/>
  <c r="O18" i="23"/>
  <c r="P18" i="23"/>
  <c r="AB27" i="23"/>
  <c r="AA27" i="23"/>
  <c r="AC27" i="23" s="1"/>
  <c r="O16" i="23"/>
  <c r="W16" i="23"/>
  <c r="J16" i="23"/>
  <c r="P16" i="23"/>
  <c r="S16" i="23" s="1"/>
  <c r="W22" i="23"/>
  <c r="W23" i="23"/>
  <c r="S23" i="23"/>
  <c r="G17" i="23"/>
  <c r="H17" i="23" s="1"/>
  <c r="L17" i="23" s="1"/>
  <c r="G19" i="23"/>
  <c r="H19" i="23" s="1"/>
  <c r="L19" i="23" s="1"/>
  <c r="G20" i="23"/>
  <c r="O21" i="26"/>
  <c r="O14" i="26"/>
  <c r="O20" i="26"/>
  <c r="I14" i="26"/>
  <c r="N18" i="26"/>
  <c r="K20" i="26"/>
  <c r="P20" i="26"/>
  <c r="K21" i="26"/>
  <c r="I22" i="26"/>
  <c r="N20" i="26"/>
  <c r="I20" i="26"/>
  <c r="I21" i="26"/>
  <c r="L20" i="26"/>
  <c r="I15" i="26"/>
  <c r="M16" i="26"/>
  <c r="M19" i="26"/>
  <c r="L14" i="26"/>
  <c r="P14" i="26"/>
  <c r="W14" i="26"/>
  <c r="X14" i="26" s="1"/>
  <c r="K15" i="26"/>
  <c r="O15" i="26"/>
  <c r="I16" i="26"/>
  <c r="N16" i="26"/>
  <c r="K18" i="26"/>
  <c r="O18" i="26"/>
  <c r="I19" i="26"/>
  <c r="N19" i="26"/>
  <c r="M20" i="26"/>
  <c r="L21" i="26"/>
  <c r="P21" i="26"/>
  <c r="W21" i="26"/>
  <c r="X21" i="26" s="1"/>
  <c r="K22" i="26"/>
  <c r="O22" i="26"/>
  <c r="N15" i="26"/>
  <c r="M14" i="26"/>
  <c r="L15" i="26"/>
  <c r="P15" i="26"/>
  <c r="W15" i="26"/>
  <c r="X15" i="26" s="1"/>
  <c r="K16" i="26"/>
  <c r="O16" i="26"/>
  <c r="L18" i="26"/>
  <c r="P18" i="26"/>
  <c r="W18" i="26"/>
  <c r="X18" i="26" s="1"/>
  <c r="K19" i="26"/>
  <c r="O19" i="26"/>
  <c r="M21" i="26"/>
  <c r="L22" i="26"/>
  <c r="P22" i="26"/>
  <c r="W22" i="26"/>
  <c r="X22" i="26" s="1"/>
  <c r="L16" i="26"/>
  <c r="P16" i="26"/>
  <c r="M18" i="26"/>
  <c r="L19" i="26"/>
  <c r="P19" i="26"/>
  <c r="M22" i="26"/>
  <c r="D14" i="25"/>
  <c r="E14" i="25"/>
  <c r="G14" i="25"/>
  <c r="K14" i="25"/>
  <c r="L14" i="25"/>
  <c r="M14" i="25"/>
  <c r="N14" i="25"/>
  <c r="P14" i="25"/>
  <c r="Q14" i="25"/>
  <c r="X14" i="25"/>
  <c r="S21" i="26" l="1"/>
  <c r="S19" i="26"/>
  <c r="J24" i="23"/>
  <c r="L24" i="23"/>
  <c r="S14" i="21"/>
  <c r="L21" i="21"/>
  <c r="L20" i="21" s="1"/>
  <c r="H20" i="21"/>
  <c r="K14" i="21"/>
  <c r="O19" i="21"/>
  <c r="K20" i="21"/>
  <c r="O23" i="21"/>
  <c r="Q23" i="21" s="1"/>
  <c r="R23" i="21" s="1"/>
  <c r="AB21" i="18"/>
  <c r="W18" i="18"/>
  <c r="X18" i="18" s="1"/>
  <c r="AO21" i="17"/>
  <c r="AP21" i="17" s="1"/>
  <c r="W18" i="20"/>
  <c r="X18" i="20" s="1"/>
  <c r="W21" i="20"/>
  <c r="X21" i="20" s="1"/>
  <c r="AB18" i="20"/>
  <c r="AD18" i="20" s="1"/>
  <c r="AB20" i="20"/>
  <c r="W19" i="15"/>
  <c r="AL23" i="15"/>
  <c r="AI19" i="15"/>
  <c r="AC19" i="15"/>
  <c r="AL22" i="15"/>
  <c r="N19" i="15"/>
  <c r="V19" i="15"/>
  <c r="V14" i="19"/>
  <c r="AI18" i="19"/>
  <c r="AC23" i="19"/>
  <c r="AD23" i="19" s="1"/>
  <c r="AI23" i="19" s="1"/>
  <c r="AC21" i="19"/>
  <c r="AD21" i="19" s="1"/>
  <c r="AC16" i="19"/>
  <c r="AD16" i="19" s="1"/>
  <c r="AI22" i="19"/>
  <c r="AC18" i="19"/>
  <c r="AD18" i="19" s="1"/>
  <c r="AI21" i="19"/>
  <c r="AC22" i="19"/>
  <c r="AD22" i="19" s="1"/>
  <c r="AC19" i="19"/>
  <c r="AD19" i="19" s="1"/>
  <c r="AI19" i="19" s="1"/>
  <c r="P25" i="13"/>
  <c r="AA25" i="13"/>
  <c r="Z25" i="13"/>
  <c r="AO25" i="13"/>
  <c r="AC25" i="13"/>
  <c r="AP25" i="13"/>
  <c r="AH25" i="13"/>
  <c r="AN25" i="13"/>
  <c r="AE25" i="13"/>
  <c r="AY25" i="13"/>
  <c r="AZ25" i="13" s="1"/>
  <c r="R25" i="13"/>
  <c r="Z24" i="13"/>
  <c r="AY24" i="13"/>
  <c r="AZ24" i="13" s="1"/>
  <c r="AC24" i="13"/>
  <c r="R24" i="13"/>
  <c r="AT24" i="13" s="1"/>
  <c r="AU24" i="13" s="1"/>
  <c r="AW24" i="13" s="1"/>
  <c r="AX24" i="13" s="1"/>
  <c r="P24" i="13"/>
  <c r="AO24" i="13"/>
  <c r="AN24" i="13"/>
  <c r="AA24" i="13"/>
  <c r="AE24" i="13"/>
  <c r="AH24" i="13"/>
  <c r="AP24" i="13"/>
  <c r="AE20" i="13"/>
  <c r="P20" i="13"/>
  <c r="AY20" i="13"/>
  <c r="AZ20" i="13" s="1"/>
  <c r="AO20" i="13"/>
  <c r="AC20" i="13"/>
  <c r="AA20" i="13"/>
  <c r="R20" i="13"/>
  <c r="AP20" i="13"/>
  <c r="AH20" i="13"/>
  <c r="AN20" i="13"/>
  <c r="Z20" i="13"/>
  <c r="AE21" i="13"/>
  <c r="R21" i="13"/>
  <c r="AN21" i="13"/>
  <c r="AH21" i="13"/>
  <c r="AP21" i="13"/>
  <c r="AC14" i="13"/>
  <c r="AY21" i="13"/>
  <c r="AZ21" i="13" s="1"/>
  <c r="Z21" i="13"/>
  <c r="P14" i="13"/>
  <c r="N19" i="13"/>
  <c r="AO19" i="13" s="1"/>
  <c r="AO21" i="13"/>
  <c r="P21" i="13"/>
  <c r="Y16" i="30"/>
  <c r="Y19" i="30"/>
  <c r="BB22" i="27"/>
  <c r="AQ21" i="29"/>
  <c r="AR25" i="29"/>
  <c r="AR23" i="29"/>
  <c r="AQ27" i="29"/>
  <c r="Z26" i="29"/>
  <c r="AR28" i="29"/>
  <c r="AS28" i="29"/>
  <c r="AT28" i="29" s="1"/>
  <c r="AR17" i="29"/>
  <c r="Z24" i="29"/>
  <c r="O24" i="29"/>
  <c r="O22" i="29" s="1"/>
  <c r="M22" i="29"/>
  <c r="Z18" i="29"/>
  <c r="AQ19" i="29"/>
  <c r="AU18" i="29" s="1"/>
  <c r="AS20" i="29"/>
  <c r="AT20" i="29" s="1"/>
  <c r="AR20" i="29"/>
  <c r="AQ29" i="29"/>
  <c r="AR21" i="29"/>
  <c r="AS21" i="29"/>
  <c r="AT21" i="29" s="1"/>
  <c r="AR16" i="29"/>
  <c r="Z15" i="29"/>
  <c r="O15" i="29"/>
  <c r="O14" i="29" s="1"/>
  <c r="M14" i="29"/>
  <c r="AU14" i="29"/>
  <c r="O26" i="29"/>
  <c r="AU15" i="27"/>
  <c r="AT14" i="27"/>
  <c r="AZ19" i="27"/>
  <c r="AV18" i="27"/>
  <c r="AX16" i="27"/>
  <c r="BB16" i="27"/>
  <c r="AW19" i="27"/>
  <c r="BB20" i="27"/>
  <c r="BB21" i="27"/>
  <c r="BB17" i="27"/>
  <c r="V15" i="20"/>
  <c r="W15" i="20" s="1"/>
  <c r="U14" i="20"/>
  <c r="W19" i="20"/>
  <c r="X19" i="20" s="1"/>
  <c r="AB17" i="20"/>
  <c r="AB16" i="20"/>
  <c r="W22" i="20"/>
  <c r="X22" i="20" s="1"/>
  <c r="AM18" i="17"/>
  <c r="AN19" i="17"/>
  <c r="AN16" i="17"/>
  <c r="AR16" i="17" s="1"/>
  <c r="AT21" i="17"/>
  <c r="AN15" i="17"/>
  <c r="AO15" i="17" s="1"/>
  <c r="AM14" i="17"/>
  <c r="AO22" i="17"/>
  <c r="AP22" i="17" s="1"/>
  <c r="AN20" i="17"/>
  <c r="AR20" i="17" s="1"/>
  <c r="AO20" i="17"/>
  <c r="AP20" i="17" s="1"/>
  <c r="AN23" i="17"/>
  <c r="AR23" i="17" s="1"/>
  <c r="AO17" i="17"/>
  <c r="AT22" i="17"/>
  <c r="W17" i="18"/>
  <c r="X17" i="18" s="1"/>
  <c r="W16" i="18"/>
  <c r="X16" i="18" s="1"/>
  <c r="W22" i="18"/>
  <c r="X22" i="18" s="1"/>
  <c r="AB23" i="18"/>
  <c r="W20" i="18"/>
  <c r="X20" i="18" s="1"/>
  <c r="AD21" i="18"/>
  <c r="AC21" i="18"/>
  <c r="R14" i="18"/>
  <c r="W15" i="18"/>
  <c r="AB15" i="18" s="1"/>
  <c r="V14" i="18"/>
  <c r="AB19" i="18"/>
  <c r="Y22" i="30"/>
  <c r="Y15" i="30"/>
  <c r="AA15" i="30" s="1"/>
  <c r="AB15" i="30" s="1"/>
  <c r="Y14" i="30"/>
  <c r="AA18" i="30"/>
  <c r="AB18" i="30" s="1"/>
  <c r="AA19" i="30"/>
  <c r="AB19" i="30" s="1"/>
  <c r="AA14" i="30"/>
  <c r="AB14" i="30" s="1"/>
  <c r="AA22" i="30"/>
  <c r="AB22" i="30" s="1"/>
  <c r="AA16" i="30"/>
  <c r="AB16" i="30" s="1"/>
  <c r="Y21" i="30"/>
  <c r="Y17" i="30"/>
  <c r="AC13" i="30"/>
  <c r="V13" i="30"/>
  <c r="V12" i="30" s="1"/>
  <c r="P13" i="30"/>
  <c r="P12" i="30" s="1"/>
  <c r="U13" i="30"/>
  <c r="U12" i="30" s="1"/>
  <c r="Q13" i="30"/>
  <c r="Q12" i="30" s="1"/>
  <c r="H13" i="30"/>
  <c r="H12" i="30" s="1"/>
  <c r="F12" i="30"/>
  <c r="S13" i="30"/>
  <c r="S12" i="30" s="1"/>
  <c r="AA20" i="30"/>
  <c r="AB20" i="30" s="1"/>
  <c r="AA26" i="13"/>
  <c r="AP26" i="13"/>
  <c r="AY26" i="13"/>
  <c r="AZ26" i="13" s="1"/>
  <c r="AH26" i="13"/>
  <c r="Z26" i="13"/>
  <c r="AE26" i="13"/>
  <c r="R26" i="13"/>
  <c r="AC26" i="13"/>
  <c r="AO26" i="13"/>
  <c r="P26" i="13"/>
  <c r="AY22" i="13"/>
  <c r="AZ22" i="13" s="1"/>
  <c r="AA22" i="13"/>
  <c r="AO22" i="13"/>
  <c r="R22" i="13"/>
  <c r="AP22" i="13"/>
  <c r="AH22" i="13"/>
  <c r="Z22" i="13"/>
  <c r="AE22" i="13"/>
  <c r="AN22" i="13"/>
  <c r="AC22" i="13"/>
  <c r="P22" i="13"/>
  <c r="AV16" i="13"/>
  <c r="AW16" i="13"/>
  <c r="AX16" i="13" s="1"/>
  <c r="N18" i="13"/>
  <c r="K17" i="13"/>
  <c r="AU15" i="13"/>
  <c r="AY14" i="13"/>
  <c r="AZ16" i="13"/>
  <c r="Z14" i="13"/>
  <c r="AP23" i="13"/>
  <c r="AH23" i="13"/>
  <c r="Z23" i="13"/>
  <c r="AC23" i="13"/>
  <c r="AO23" i="13"/>
  <c r="AE23" i="13"/>
  <c r="R23" i="13"/>
  <c r="AN23" i="13"/>
  <c r="P23" i="13"/>
  <c r="AA23" i="13"/>
  <c r="AY23" i="13"/>
  <c r="AZ23" i="13" s="1"/>
  <c r="Z19" i="13"/>
  <c r="AC19" i="13"/>
  <c r="AA19" i="13"/>
  <c r="R14" i="13"/>
  <c r="AC15" i="19"/>
  <c r="AD15" i="19" s="1"/>
  <c r="AF15" i="19" s="1"/>
  <c r="AF16" i="19"/>
  <c r="AG16" i="19" s="1"/>
  <c r="AF24" i="19"/>
  <c r="AG24" i="19" s="1"/>
  <c r="AF18" i="19"/>
  <c r="AG18" i="19" s="1"/>
  <c r="AF23" i="19"/>
  <c r="AG23" i="19" s="1"/>
  <c r="AF19" i="19"/>
  <c r="AG19" i="19" s="1"/>
  <c r="AK21" i="19"/>
  <c r="AF21" i="19"/>
  <c r="AG21" i="19" s="1"/>
  <c r="P14" i="19"/>
  <c r="U14" i="19"/>
  <c r="AC17" i="19"/>
  <c r="AD17" i="19" s="1"/>
  <c r="AI17" i="19" s="1"/>
  <c r="S14" i="19"/>
  <c r="Y14" i="19"/>
  <c r="AF20" i="19"/>
  <c r="AG20" i="19" s="1"/>
  <c r="Q14" i="19"/>
  <c r="H14" i="19"/>
  <c r="W14" i="19"/>
  <c r="AH14" i="19"/>
  <c r="AI15" i="19"/>
  <c r="AM22" i="15"/>
  <c r="AN22" i="15" s="1"/>
  <c r="AO22" i="15" s="1"/>
  <c r="AG18" i="15"/>
  <c r="Y18" i="15"/>
  <c r="V18" i="15"/>
  <c r="AF18" i="15"/>
  <c r="W18" i="15"/>
  <c r="AC18" i="15"/>
  <c r="AA18" i="15"/>
  <c r="AP18" i="15"/>
  <c r="N18" i="15"/>
  <c r="AL18" i="15" s="1"/>
  <c r="AM16" i="15"/>
  <c r="AN16" i="15" s="1"/>
  <c r="AO16" i="15" s="1"/>
  <c r="AM23" i="15"/>
  <c r="AN23" i="15" s="1"/>
  <c r="AL21" i="15"/>
  <c r="AE19" i="15"/>
  <c r="AL20" i="15"/>
  <c r="AP17" i="15"/>
  <c r="AA17" i="15"/>
  <c r="N17" i="15"/>
  <c r="AL17" i="15" s="1"/>
  <c r="W17" i="15"/>
  <c r="AG17" i="15"/>
  <c r="Y17" i="15"/>
  <c r="AF17" i="15"/>
  <c r="AC17" i="15"/>
  <c r="V17" i="15"/>
  <c r="I14" i="15"/>
  <c r="K15" i="15"/>
  <c r="K14" i="15" s="1"/>
  <c r="Y19" i="15"/>
  <c r="AA19" i="15"/>
  <c r="AQ22" i="15"/>
  <c r="P23" i="21"/>
  <c r="Q19" i="21"/>
  <c r="R19" i="21" s="1"/>
  <c r="P19" i="21"/>
  <c r="V19" i="21" s="1"/>
  <c r="P22" i="21"/>
  <c r="Q22" i="21"/>
  <c r="R22" i="21" s="1"/>
  <c r="P18" i="21"/>
  <c r="T18" i="21" s="1"/>
  <c r="V18" i="21" s="1"/>
  <c r="Q18" i="21"/>
  <c r="R18" i="21" s="1"/>
  <c r="O21" i="21"/>
  <c r="O20" i="21" s="1"/>
  <c r="P24" i="21"/>
  <c r="T24" i="21" s="1"/>
  <c r="Q24" i="21"/>
  <c r="R24" i="21" s="1"/>
  <c r="P16" i="21"/>
  <c r="Q16" i="21"/>
  <c r="R16" i="21" s="1"/>
  <c r="L17" i="21"/>
  <c r="L14" i="21" s="1"/>
  <c r="O15" i="21"/>
  <c r="T22" i="21"/>
  <c r="V22" i="21" s="1"/>
  <c r="T19" i="21"/>
  <c r="P19" i="23"/>
  <c r="O19" i="23"/>
  <c r="W19" i="23"/>
  <c r="J19" i="23"/>
  <c r="T18" i="23"/>
  <c r="P17" i="23"/>
  <c r="O17" i="23"/>
  <c r="W17" i="23"/>
  <c r="J17" i="23"/>
  <c r="S17" i="23" s="1"/>
  <c r="T23" i="23"/>
  <c r="T16" i="23"/>
  <c r="X16" i="23" s="1"/>
  <c r="S22" i="23"/>
  <c r="G14" i="23"/>
  <c r="O15" i="23"/>
  <c r="H14" i="23"/>
  <c r="W15" i="23"/>
  <c r="J15" i="23"/>
  <c r="P15" i="23"/>
  <c r="W21" i="23"/>
  <c r="S15" i="26"/>
  <c r="S22" i="26"/>
  <c r="Z22" i="26" s="1"/>
  <c r="S20" i="26"/>
  <c r="U20" i="26" s="1"/>
  <c r="V20" i="26" s="1"/>
  <c r="S14" i="26"/>
  <c r="U14" i="26" s="1"/>
  <c r="V14" i="26" s="1"/>
  <c r="S18" i="26"/>
  <c r="S16" i="26"/>
  <c r="U16" i="26" s="1"/>
  <c r="V16" i="26" s="1"/>
  <c r="U21" i="26"/>
  <c r="V21" i="26" s="1"/>
  <c r="U15" i="26"/>
  <c r="V15" i="26" s="1"/>
  <c r="U22" i="26"/>
  <c r="V22" i="26" s="1"/>
  <c r="U18" i="26"/>
  <c r="V18" i="26" s="1"/>
  <c r="U19" i="26"/>
  <c r="V19" i="26" s="1"/>
  <c r="D18" i="25"/>
  <c r="E18" i="25"/>
  <c r="G18" i="25"/>
  <c r="I18" i="25"/>
  <c r="K18" i="25"/>
  <c r="L18" i="25"/>
  <c r="M18" i="25"/>
  <c r="N18" i="25"/>
  <c r="O18" i="25"/>
  <c r="P18" i="25"/>
  <c r="Q18" i="25"/>
  <c r="X18" i="25"/>
  <c r="V21" i="25"/>
  <c r="H20" i="25"/>
  <c r="J20" i="25" s="1"/>
  <c r="H21" i="25"/>
  <c r="J21" i="25" s="1"/>
  <c r="H22" i="25"/>
  <c r="V22" i="25" s="1"/>
  <c r="H23" i="25"/>
  <c r="S19" i="23" l="1"/>
  <c r="P14" i="23"/>
  <c r="O14" i="23"/>
  <c r="S24" i="23"/>
  <c r="T24" i="23" s="1"/>
  <c r="X24" i="23" s="1"/>
  <c r="AE21" i="18"/>
  <c r="AB22" i="18"/>
  <c r="AB18" i="18"/>
  <c r="AT20" i="17"/>
  <c r="AO23" i="17"/>
  <c r="AP23" i="17" s="1"/>
  <c r="AB19" i="20"/>
  <c r="AC18" i="20"/>
  <c r="AE18" i="20" s="1"/>
  <c r="AD20" i="20"/>
  <c r="AC20" i="20"/>
  <c r="AE20" i="20" s="1"/>
  <c r="AB21" i="20"/>
  <c r="AO23" i="15"/>
  <c r="AS22" i="15"/>
  <c r="L15" i="15"/>
  <c r="AC15" i="15" s="1"/>
  <c r="AC14" i="15" s="1"/>
  <c r="AQ23" i="15"/>
  <c r="AS23" i="15" s="1"/>
  <c r="AD14" i="19"/>
  <c r="AI16" i="19"/>
  <c r="AK16" i="19" s="1"/>
  <c r="AI14" i="19"/>
  <c r="AF22" i="19"/>
  <c r="AG22" i="19" s="1"/>
  <c r="R19" i="13"/>
  <c r="AH19" i="13"/>
  <c r="AT25" i="13"/>
  <c r="AU25" i="13" s="1"/>
  <c r="AW25" i="13" s="1"/>
  <c r="AX25" i="13" s="1"/>
  <c r="AE19" i="13"/>
  <c r="AP19" i="13"/>
  <c r="AT21" i="13"/>
  <c r="AU21" i="13" s="1"/>
  <c r="AW21" i="13" s="1"/>
  <c r="AX21" i="13" s="1"/>
  <c r="AY19" i="13"/>
  <c r="AZ19" i="13" s="1"/>
  <c r="AN19" i="13"/>
  <c r="AT19" i="13" s="1"/>
  <c r="AU19" i="13" s="1"/>
  <c r="AW19" i="13" s="1"/>
  <c r="AX19" i="13" s="1"/>
  <c r="P19" i="13"/>
  <c r="AT20" i="13"/>
  <c r="AU20" i="13" s="1"/>
  <c r="AW20" i="13" s="1"/>
  <c r="AX20" i="13" s="1"/>
  <c r="BD22" i="27"/>
  <c r="BC22" i="27"/>
  <c r="BE22" i="27" s="1"/>
  <c r="AS17" i="29"/>
  <c r="AT17" i="29" s="1"/>
  <c r="AS25" i="29"/>
  <c r="AT25" i="29" s="1"/>
  <c r="AS23" i="29"/>
  <c r="AR27" i="29"/>
  <c r="AQ26" i="29"/>
  <c r="AS27" i="29"/>
  <c r="AS16" i="29"/>
  <c r="AT16" i="29" s="1"/>
  <c r="AX20" i="29"/>
  <c r="AX28" i="29"/>
  <c r="AX23" i="29"/>
  <c r="AR29" i="29"/>
  <c r="AR19" i="29"/>
  <c r="AV18" i="29" s="1"/>
  <c r="AQ18" i="29"/>
  <c r="AT23" i="29"/>
  <c r="AX16" i="29"/>
  <c r="Z14" i="29"/>
  <c r="AQ15" i="29"/>
  <c r="AX21" i="29"/>
  <c r="AQ24" i="29"/>
  <c r="Z22" i="29"/>
  <c r="AX17" i="29"/>
  <c r="AX19" i="27"/>
  <c r="AX18" i="27" s="1"/>
  <c r="AW18" i="27"/>
  <c r="AZ18" i="27"/>
  <c r="BB19" i="27"/>
  <c r="BC20" i="27"/>
  <c r="BD20" i="27"/>
  <c r="BC17" i="27"/>
  <c r="BE17" i="27" s="1"/>
  <c r="BD17" i="27"/>
  <c r="BD16" i="27"/>
  <c r="BE16" i="27" s="1"/>
  <c r="BC16" i="27"/>
  <c r="BC21" i="27"/>
  <c r="BE21" i="27" s="1"/>
  <c r="BD21" i="27"/>
  <c r="AU14" i="27"/>
  <c r="AV15" i="27"/>
  <c r="AD19" i="20"/>
  <c r="AC19" i="20"/>
  <c r="AE19" i="20" s="1"/>
  <c r="AC17" i="20"/>
  <c r="AD17" i="20"/>
  <c r="W14" i="20"/>
  <c r="X15" i="20"/>
  <c r="X14" i="20" s="1"/>
  <c r="V14" i="20"/>
  <c r="Z15" i="20"/>
  <c r="AC16" i="20"/>
  <c r="AD16" i="20"/>
  <c r="AB22" i="20"/>
  <c r="AV20" i="17"/>
  <c r="AU20" i="17"/>
  <c r="AW20" i="17" s="1"/>
  <c r="AP17" i="17"/>
  <c r="AT17" i="17"/>
  <c r="AP15" i="17"/>
  <c r="AR19" i="17"/>
  <c r="AR18" i="17" s="1"/>
  <c r="AN18" i="17"/>
  <c r="AO19" i="17"/>
  <c r="AV21" i="17"/>
  <c r="AU21" i="17"/>
  <c r="AT23" i="17"/>
  <c r="AO16" i="17"/>
  <c r="AU22" i="17"/>
  <c r="AV22" i="17"/>
  <c r="AR15" i="17"/>
  <c r="AR14" i="17" s="1"/>
  <c r="AN14" i="17"/>
  <c r="AD15" i="18"/>
  <c r="AD23" i="18"/>
  <c r="AC23" i="18"/>
  <c r="AE23" i="18" s="1"/>
  <c r="AB16" i="18"/>
  <c r="AD19" i="18"/>
  <c r="AC19" i="18"/>
  <c r="AE22" i="18"/>
  <c r="AD22" i="18"/>
  <c r="AC22" i="18"/>
  <c r="W14" i="18"/>
  <c r="X15" i="18"/>
  <c r="X14" i="18" s="1"/>
  <c r="AB20" i="18"/>
  <c r="AB17" i="18"/>
  <c r="AF18" i="30"/>
  <c r="AF20" i="30"/>
  <c r="AF22" i="30"/>
  <c r="AF16" i="30"/>
  <c r="AF19" i="30"/>
  <c r="AA17" i="30"/>
  <c r="AB17" i="30" s="1"/>
  <c r="AF14" i="30"/>
  <c r="AG18" i="30"/>
  <c r="AH18" i="30"/>
  <c r="AG20" i="30"/>
  <c r="AH20" i="30"/>
  <c r="Y13" i="30"/>
  <c r="AC12" i="30"/>
  <c r="AF15" i="30"/>
  <c r="AA21" i="30"/>
  <c r="AB21" i="30" s="1"/>
  <c r="AG22" i="30"/>
  <c r="AH22" i="30"/>
  <c r="AT22" i="13"/>
  <c r="AU22" i="13" s="1"/>
  <c r="AT23" i="13"/>
  <c r="AU23" i="13" s="1"/>
  <c r="AV15" i="13"/>
  <c r="AW15" i="13" s="1"/>
  <c r="AU14" i="13"/>
  <c r="BB24" i="13"/>
  <c r="BB16" i="13"/>
  <c r="AY18" i="13"/>
  <c r="AE18" i="13"/>
  <c r="AE17" i="13" s="1"/>
  <c r="AA18" i="13"/>
  <c r="AA17" i="13" s="1"/>
  <c r="P18" i="13"/>
  <c r="P17" i="13" s="1"/>
  <c r="AP18" i="13"/>
  <c r="AP17" i="13" s="1"/>
  <c r="Z18" i="13"/>
  <c r="Z17" i="13" s="1"/>
  <c r="N17" i="13"/>
  <c r="AO18" i="13"/>
  <c r="AO17" i="13" s="1"/>
  <c r="AN18" i="13"/>
  <c r="R18" i="13"/>
  <c r="R17" i="13" s="1"/>
  <c r="AC18" i="13"/>
  <c r="AC17" i="13" s="1"/>
  <c r="AH18" i="13"/>
  <c r="AH17" i="13" s="1"/>
  <c r="AT26" i="13"/>
  <c r="AU26" i="13" s="1"/>
  <c r="AK18" i="19"/>
  <c r="AM18" i="19" s="1"/>
  <c r="AM21" i="19"/>
  <c r="AL21" i="19"/>
  <c r="AG15" i="19"/>
  <c r="AK20" i="19"/>
  <c r="AK15" i="19"/>
  <c r="AK24" i="19"/>
  <c r="AK19" i="19"/>
  <c r="AF17" i="19"/>
  <c r="AG17" i="19" s="1"/>
  <c r="AC14" i="19"/>
  <c r="AK23" i="19"/>
  <c r="AK22" i="19"/>
  <c r="AM17" i="15"/>
  <c r="AM18" i="15"/>
  <c r="AQ18" i="15" s="1"/>
  <c r="AU22" i="15"/>
  <c r="AT22" i="15"/>
  <c r="AV22" i="15" s="1"/>
  <c r="AM21" i="15"/>
  <c r="AQ21" i="15" s="1"/>
  <c r="AQ16" i="15"/>
  <c r="AS16" i="15" s="1"/>
  <c r="AL19" i="15"/>
  <c r="AM20" i="15"/>
  <c r="AN20" i="15" s="1"/>
  <c r="Y15" i="15"/>
  <c r="Y14" i="15" s="1"/>
  <c r="L14" i="15"/>
  <c r="AG15" i="15"/>
  <c r="AG14" i="15" s="1"/>
  <c r="X18" i="21"/>
  <c r="W18" i="21"/>
  <c r="X22" i="21"/>
  <c r="W22" i="21"/>
  <c r="Y22" i="21" s="1"/>
  <c r="W19" i="21"/>
  <c r="X19" i="21"/>
  <c r="Y19" i="21" s="1"/>
  <c r="O17" i="21"/>
  <c r="O14" i="21" s="1"/>
  <c r="V24" i="21"/>
  <c r="T16" i="21"/>
  <c r="V16" i="21" s="1"/>
  <c r="Q21" i="21"/>
  <c r="P21" i="21"/>
  <c r="Q15" i="21"/>
  <c r="P15" i="21"/>
  <c r="T23" i="21"/>
  <c r="V23" i="21" s="1"/>
  <c r="W23" i="21" s="1"/>
  <c r="O20" i="23"/>
  <c r="L21" i="23"/>
  <c r="L20" i="23" s="1"/>
  <c r="J21" i="23"/>
  <c r="J20" i="23" s="1"/>
  <c r="J14" i="23"/>
  <c r="S15" i="23"/>
  <c r="H20" i="23"/>
  <c r="T19" i="23"/>
  <c r="T17" i="23"/>
  <c r="U17" i="23" s="1"/>
  <c r="V17" i="23" s="1"/>
  <c r="W14" i="23"/>
  <c r="X18" i="23"/>
  <c r="X23" i="23"/>
  <c r="U16" i="23"/>
  <c r="V16" i="23" s="1"/>
  <c r="U23" i="23"/>
  <c r="V23" i="23" s="1"/>
  <c r="Y14" i="23"/>
  <c r="W20" i="23"/>
  <c r="T22" i="23"/>
  <c r="X22" i="23" s="1"/>
  <c r="U18" i="23"/>
  <c r="V18" i="23" s="1"/>
  <c r="L14" i="23"/>
  <c r="X19" i="23"/>
  <c r="Z20" i="26"/>
  <c r="Z15" i="26"/>
  <c r="Z14" i="26"/>
  <c r="Z19" i="26"/>
  <c r="AB22" i="26"/>
  <c r="AA22" i="26"/>
  <c r="AC22" i="26" s="1"/>
  <c r="Z18" i="26"/>
  <c r="Z21" i="26"/>
  <c r="Z16" i="26"/>
  <c r="J23" i="25"/>
  <c r="R23" i="25" s="1"/>
  <c r="R21" i="25"/>
  <c r="V20" i="25"/>
  <c r="J22" i="25"/>
  <c r="R22" i="25" s="1"/>
  <c r="R20" i="25"/>
  <c r="V23" i="25"/>
  <c r="F19" i="25"/>
  <c r="AL18" i="19" l="1"/>
  <c r="U24" i="23"/>
  <c r="T21" i="21"/>
  <c r="P20" i="21"/>
  <c r="P14" i="21"/>
  <c r="R21" i="21"/>
  <c r="R20" i="21" s="1"/>
  <c r="Q20" i="21"/>
  <c r="Y18" i="21"/>
  <c r="AE19" i="18"/>
  <c r="AC18" i="18"/>
  <c r="AE18" i="18" s="1"/>
  <c r="AD18" i="18"/>
  <c r="AW22" i="17"/>
  <c r="AW21" i="17"/>
  <c r="AT15" i="17"/>
  <c r="AU15" i="17" s="1"/>
  <c r="AE16" i="20"/>
  <c r="AE17" i="20"/>
  <c r="AD21" i="20"/>
  <c r="AE21" i="20" s="1"/>
  <c r="AC21" i="20"/>
  <c r="AT23" i="15"/>
  <c r="AU23" i="15"/>
  <c r="AA15" i="15"/>
  <c r="AA14" i="15" s="1"/>
  <c r="AF15" i="15"/>
  <c r="AF14" i="15" s="1"/>
  <c r="N15" i="15"/>
  <c r="N14" i="15" s="1"/>
  <c r="W15" i="15"/>
  <c r="W14" i="15" s="1"/>
  <c r="AP15" i="15"/>
  <c r="AP14" i="15" s="1"/>
  <c r="V15" i="15"/>
  <c r="V14" i="15" s="1"/>
  <c r="AM16" i="19"/>
  <c r="AL16" i="19"/>
  <c r="AN16" i="19" s="1"/>
  <c r="AN18" i="19"/>
  <c r="AK17" i="19"/>
  <c r="AL17" i="19" s="1"/>
  <c r="AF14" i="19"/>
  <c r="AN21" i="19"/>
  <c r="AN17" i="13"/>
  <c r="BE20" i="27"/>
  <c r="AS19" i="29"/>
  <c r="AV26" i="29"/>
  <c r="AX25" i="29"/>
  <c r="AY25" i="29" s="1"/>
  <c r="Z13" i="30"/>
  <c r="AS29" i="29"/>
  <c r="AT29" i="29" s="1"/>
  <c r="AZ23" i="29"/>
  <c r="AY23" i="29"/>
  <c r="AR24" i="29"/>
  <c r="AQ22" i="29"/>
  <c r="AY16" i="29"/>
  <c r="AZ16" i="29"/>
  <c r="AR18" i="29"/>
  <c r="AX29" i="29"/>
  <c r="AY28" i="29"/>
  <c r="AZ28" i="29"/>
  <c r="AT27" i="29"/>
  <c r="AT26" i="29" s="1"/>
  <c r="AS26" i="29"/>
  <c r="AZ21" i="29"/>
  <c r="AY21" i="29"/>
  <c r="AT19" i="29"/>
  <c r="AT18" i="29" s="1"/>
  <c r="AS18" i="29"/>
  <c r="AZ20" i="29"/>
  <c r="AY20" i="29"/>
  <c r="AZ17" i="29"/>
  <c r="AY17" i="29"/>
  <c r="AS15" i="29"/>
  <c r="AR15" i="29"/>
  <c r="AQ14" i="29"/>
  <c r="AX19" i="29"/>
  <c r="AR26" i="29"/>
  <c r="AV14" i="27"/>
  <c r="AZ15" i="27"/>
  <c r="AW15" i="27"/>
  <c r="BE19" i="27"/>
  <c r="BE18" i="27" s="1"/>
  <c r="BD19" i="27"/>
  <c r="BD18" i="27" s="1"/>
  <c r="BB18" i="27"/>
  <c r="BC19" i="27"/>
  <c r="BC18" i="27" s="1"/>
  <c r="AD22" i="20"/>
  <c r="AC22" i="20"/>
  <c r="Z14" i="20"/>
  <c r="AB15" i="20"/>
  <c r="AV15" i="17"/>
  <c r="AV23" i="17"/>
  <c r="AU23" i="17"/>
  <c r="AP19" i="17"/>
  <c r="AP18" i="17" s="1"/>
  <c r="AO18" i="17"/>
  <c r="AU17" i="17"/>
  <c r="AW17" i="17" s="1"/>
  <c r="AV17" i="17"/>
  <c r="AP16" i="17"/>
  <c r="AP14" i="17" s="1"/>
  <c r="AT16" i="17"/>
  <c r="AT14" i="17" s="1"/>
  <c r="AO14" i="17"/>
  <c r="AT19" i="17"/>
  <c r="AD16" i="18"/>
  <c r="AC16" i="18"/>
  <c r="AB14" i="18"/>
  <c r="AC15" i="18"/>
  <c r="AD17" i="18"/>
  <c r="AD14" i="18" s="1"/>
  <c r="AC17" i="18"/>
  <c r="AD20" i="18"/>
  <c r="AC20" i="18"/>
  <c r="AI20" i="30"/>
  <c r="AF21" i="30"/>
  <c r="AH21" i="30" s="1"/>
  <c r="AI18" i="30"/>
  <c r="AI22" i="30"/>
  <c r="Y12" i="30"/>
  <c r="AH15" i="30"/>
  <c r="AG15" i="30"/>
  <c r="AF17" i="30"/>
  <c r="AH19" i="30"/>
  <c r="AG19" i="30"/>
  <c r="AG14" i="30"/>
  <c r="AH14" i="30"/>
  <c r="AG16" i="30"/>
  <c r="AH16" i="30"/>
  <c r="BB20" i="13"/>
  <c r="BD20" i="13" s="1"/>
  <c r="BB25" i="13"/>
  <c r="AW23" i="13"/>
  <c r="AX23" i="13" s="1"/>
  <c r="AW26" i="13"/>
  <c r="AX26" i="13" s="1"/>
  <c r="AY17" i="13"/>
  <c r="AZ18" i="13"/>
  <c r="AZ17" i="13" s="1"/>
  <c r="BB21" i="13"/>
  <c r="BD16" i="13"/>
  <c r="BC16" i="13"/>
  <c r="BB19" i="13"/>
  <c r="AT18" i="13"/>
  <c r="AT17" i="13" s="1"/>
  <c r="AW14" i="13"/>
  <c r="AX15" i="13"/>
  <c r="AX14" i="13" s="1"/>
  <c r="BD25" i="13"/>
  <c r="BC25" i="13"/>
  <c r="BE25" i="13" s="1"/>
  <c r="BC20" i="13"/>
  <c r="BD24" i="13"/>
  <c r="BC24" i="13"/>
  <c r="BE24" i="13" s="1"/>
  <c r="AV14" i="13"/>
  <c r="AZ15" i="13"/>
  <c r="AZ14" i="13" s="1"/>
  <c r="AW22" i="13"/>
  <c r="AX22" i="13" s="1"/>
  <c r="AM19" i="19"/>
  <c r="AL19" i="19"/>
  <c r="AM15" i="19"/>
  <c r="AL15" i="19"/>
  <c r="AM23" i="19"/>
  <c r="AL23" i="19"/>
  <c r="AM20" i="19"/>
  <c r="AL20" i="19"/>
  <c r="AM24" i="19"/>
  <c r="AL24" i="19"/>
  <c r="AL22" i="19"/>
  <c r="AM22" i="19"/>
  <c r="AM17" i="19"/>
  <c r="AG14" i="19"/>
  <c r="AU16" i="15"/>
  <c r="AT16" i="15"/>
  <c r="AV16" i="15" s="1"/>
  <c r="AO20" i="15"/>
  <c r="AQ17" i="15"/>
  <c r="AN18" i="15"/>
  <c r="AO18" i="15" s="1"/>
  <c r="AN17" i="15"/>
  <c r="AO17" i="15" s="1"/>
  <c r="AM19" i="15"/>
  <c r="AQ20" i="15"/>
  <c r="AQ19" i="15" s="1"/>
  <c r="AS20" i="15"/>
  <c r="AN21" i="15"/>
  <c r="AN19" i="15" s="1"/>
  <c r="X23" i="21"/>
  <c r="Y23" i="21" s="1"/>
  <c r="R15" i="21"/>
  <c r="Q17" i="21"/>
  <c r="R17" i="21" s="1"/>
  <c r="P17" i="21"/>
  <c r="T17" i="21" s="1"/>
  <c r="X16" i="21"/>
  <c r="Y16" i="21" s="1"/>
  <c r="W16" i="21"/>
  <c r="T15" i="21"/>
  <c r="T14" i="21" s="1"/>
  <c r="X24" i="21"/>
  <c r="Y24" i="21" s="1"/>
  <c r="W24" i="21"/>
  <c r="S21" i="23"/>
  <c r="T21" i="23" s="1"/>
  <c r="X17" i="23"/>
  <c r="Z17" i="23" s="1"/>
  <c r="AB17" i="23" s="1"/>
  <c r="U19" i="23"/>
  <c r="V19" i="23" s="1"/>
  <c r="Z23" i="23"/>
  <c r="AB23" i="23" s="1"/>
  <c r="U22" i="23"/>
  <c r="V24" i="23"/>
  <c r="Z24" i="23"/>
  <c r="Z18" i="23"/>
  <c r="AB18" i="23" s="1"/>
  <c r="S14" i="23"/>
  <c r="T15" i="23"/>
  <c r="Z16" i="23"/>
  <c r="AB16" i="23" s="1"/>
  <c r="AB19" i="26"/>
  <c r="AA19" i="26"/>
  <c r="AC19" i="26" s="1"/>
  <c r="AB16" i="26"/>
  <c r="AA16" i="26"/>
  <c r="AB15" i="26"/>
  <c r="AA15" i="26"/>
  <c r="AB18" i="26"/>
  <c r="AA18" i="26"/>
  <c r="AB14" i="26"/>
  <c r="AA14" i="26"/>
  <c r="AB21" i="26"/>
  <c r="AA21" i="26"/>
  <c r="AC21" i="26" s="1"/>
  <c r="AA20" i="26"/>
  <c r="AC20" i="26"/>
  <c r="AB20" i="26"/>
  <c r="H19" i="25"/>
  <c r="F18" i="25"/>
  <c r="S23" i="25"/>
  <c r="T23" i="25" s="1"/>
  <c r="S21" i="25"/>
  <c r="W21" i="25" s="1"/>
  <c r="S22" i="25"/>
  <c r="W22" i="25" s="1"/>
  <c r="S20" i="25"/>
  <c r="W20" i="25" s="1"/>
  <c r="T20" i="25"/>
  <c r="U20" i="25" s="1"/>
  <c r="F17" i="25"/>
  <c r="H17" i="25" s="1"/>
  <c r="F16" i="25"/>
  <c r="H16" i="25" s="1"/>
  <c r="AV15" i="29" l="1"/>
  <c r="AV14" i="29" s="1"/>
  <c r="BA23" i="29"/>
  <c r="S20" i="23"/>
  <c r="AN19" i="19"/>
  <c r="AZ25" i="29"/>
  <c r="BA25" i="29" s="1"/>
  <c r="AC14" i="26"/>
  <c r="R14" i="21"/>
  <c r="T20" i="21"/>
  <c r="V21" i="21"/>
  <c r="Q14" i="21"/>
  <c r="AE20" i="18"/>
  <c r="AE17" i="18"/>
  <c r="AE16" i="18"/>
  <c r="AW23" i="17"/>
  <c r="AE22" i="20"/>
  <c r="AL15" i="15"/>
  <c r="AV23" i="15"/>
  <c r="AN22" i="19"/>
  <c r="AK14" i="19"/>
  <c r="BB22" i="13"/>
  <c r="BE20" i="13"/>
  <c r="AG21" i="30"/>
  <c r="BA17" i="29"/>
  <c r="AD13" i="30"/>
  <c r="AD12" i="30" s="1"/>
  <c r="Z12" i="30"/>
  <c r="AA13" i="30"/>
  <c r="AB13" i="30" s="1"/>
  <c r="AB12" i="30" s="1"/>
  <c r="BA21" i="29"/>
  <c r="BA28" i="29"/>
  <c r="BA20" i="29"/>
  <c r="BA16" i="29"/>
  <c r="AT15" i="29"/>
  <c r="AT14" i="29" s="1"/>
  <c r="AS14" i="29"/>
  <c r="AY19" i="29"/>
  <c r="AY18" i="29" s="1"/>
  <c r="AX18" i="29"/>
  <c r="AZ19" i="29"/>
  <c r="AZ18" i="29" s="1"/>
  <c r="AR22" i="29"/>
  <c r="AX27" i="29"/>
  <c r="AR14" i="29"/>
  <c r="AZ29" i="29"/>
  <c r="AY29" i="29"/>
  <c r="AS24" i="29"/>
  <c r="AX15" i="27"/>
  <c r="AX14" i="27" s="1"/>
  <c r="AW14" i="27"/>
  <c r="AZ14" i="27"/>
  <c r="BB15" i="27"/>
  <c r="AD15" i="20"/>
  <c r="AD14" i="20" s="1"/>
  <c r="AC15" i="20"/>
  <c r="AC14" i="20" s="1"/>
  <c r="AB14" i="20"/>
  <c r="AU16" i="17"/>
  <c r="AW16" i="17" s="1"/>
  <c r="AV16" i="17"/>
  <c r="AV14" i="17"/>
  <c r="AV19" i="17"/>
  <c r="AV18" i="17" s="1"/>
  <c r="AU19" i="17"/>
  <c r="AU18" i="17" s="1"/>
  <c r="AT18" i="17"/>
  <c r="AW15" i="17"/>
  <c r="AC14" i="18"/>
  <c r="AE15" i="18"/>
  <c r="AI14" i="30"/>
  <c r="AI15" i="30"/>
  <c r="AI16" i="30"/>
  <c r="AI19" i="30"/>
  <c r="AI21" i="30"/>
  <c r="AH17" i="30"/>
  <c r="AG17" i="30"/>
  <c r="BB26" i="13"/>
  <c r="BC26" i="13" s="1"/>
  <c r="BE16" i="13"/>
  <c r="BC21" i="13"/>
  <c r="BD21" i="13"/>
  <c r="BD22" i="13"/>
  <c r="BC22" i="13"/>
  <c r="BB15" i="13"/>
  <c r="BC19" i="13"/>
  <c r="BD19" i="13"/>
  <c r="AU18" i="13"/>
  <c r="BB23" i="13"/>
  <c r="AN17" i="19"/>
  <c r="AN24" i="19"/>
  <c r="AN23" i="19"/>
  <c r="AN20" i="19"/>
  <c r="AL14" i="19"/>
  <c r="AM14" i="19"/>
  <c r="AN15" i="19"/>
  <c r="AT20" i="15"/>
  <c r="AU20" i="15"/>
  <c r="AS18" i="15"/>
  <c r="AS17" i="15"/>
  <c r="AM15" i="15"/>
  <c r="AN15" i="15" s="1"/>
  <c r="AL14" i="15"/>
  <c r="AO21" i="15"/>
  <c r="AO19" i="15" s="1"/>
  <c r="AS21" i="15"/>
  <c r="AS19" i="15" s="1"/>
  <c r="V17" i="21"/>
  <c r="V15" i="21"/>
  <c r="V14" i="21" s="1"/>
  <c r="X15" i="23"/>
  <c r="X14" i="23" s="1"/>
  <c r="AA23" i="23"/>
  <c r="AC23" i="23" s="1"/>
  <c r="Z19" i="23"/>
  <c r="AA16" i="23"/>
  <c r="AC16" i="23" s="1"/>
  <c r="V22" i="23"/>
  <c r="Z22" i="23"/>
  <c r="T14" i="23"/>
  <c r="T20" i="23"/>
  <c r="X21" i="23"/>
  <c r="X20" i="23" s="1"/>
  <c r="AA18" i="23"/>
  <c r="AC18" i="23" s="1"/>
  <c r="AA17" i="23"/>
  <c r="AC17" i="23" s="1"/>
  <c r="AB24" i="23"/>
  <c r="AA24" i="23"/>
  <c r="U21" i="23"/>
  <c r="U15" i="23"/>
  <c r="Z15" i="23" s="1"/>
  <c r="AC15" i="26"/>
  <c r="AC18" i="26"/>
  <c r="AC16" i="26"/>
  <c r="V16" i="25"/>
  <c r="O16" i="25"/>
  <c r="J16" i="25"/>
  <c r="R16" i="25" s="1"/>
  <c r="W23" i="25"/>
  <c r="Y23" i="25" s="1"/>
  <c r="J17" i="25"/>
  <c r="V17" i="25"/>
  <c r="O17" i="25"/>
  <c r="R17" i="25" s="1"/>
  <c r="T21" i="25"/>
  <c r="U21" i="25" s="1"/>
  <c r="V19" i="25"/>
  <c r="J19" i="25"/>
  <c r="H18" i="25"/>
  <c r="U23" i="25"/>
  <c r="Y20" i="25"/>
  <c r="T22" i="25"/>
  <c r="F15" i="25"/>
  <c r="F14" i="25" s="1"/>
  <c r="Y21" i="25" l="1"/>
  <c r="V20" i="21"/>
  <c r="X21" i="21"/>
  <c r="W21" i="21"/>
  <c r="W20" i="21" s="1"/>
  <c r="AE14" i="18"/>
  <c r="AU14" i="17"/>
  <c r="AV20" i="15"/>
  <c r="BD26" i="13"/>
  <c r="BE26" i="13" s="1"/>
  <c r="BE19" i="13"/>
  <c r="AA12" i="30"/>
  <c r="AF13" i="30"/>
  <c r="AF12" i="30" s="1"/>
  <c r="BA19" i="29"/>
  <c r="BA18" i="29" s="1"/>
  <c r="BA29" i="29"/>
  <c r="AZ27" i="29"/>
  <c r="AZ26" i="29" s="1"/>
  <c r="AY27" i="29"/>
  <c r="AY26" i="29" s="1"/>
  <c r="AX26" i="29"/>
  <c r="AT24" i="29"/>
  <c r="AT22" i="29" s="1"/>
  <c r="AS22" i="29"/>
  <c r="AX24" i="29"/>
  <c r="BC15" i="27"/>
  <c r="BC14" i="27" s="1"/>
  <c r="BB14" i="27"/>
  <c r="BD15" i="27"/>
  <c r="BD14" i="27" s="1"/>
  <c r="AE15" i="20"/>
  <c r="AE14" i="20" s="1"/>
  <c r="AW14" i="17"/>
  <c r="AW19" i="17"/>
  <c r="AW18" i="17" s="1"/>
  <c r="AI17" i="30"/>
  <c r="BE21" i="13"/>
  <c r="BE22" i="13"/>
  <c r="BD15" i="13"/>
  <c r="BD14" i="13" s="1"/>
  <c r="BB14" i="13"/>
  <c r="BC15" i="13"/>
  <c r="BC14" i="13" s="1"/>
  <c r="BC23" i="13"/>
  <c r="BD23" i="13"/>
  <c r="BE23" i="13" s="1"/>
  <c r="AU17" i="13"/>
  <c r="AW18" i="13"/>
  <c r="BB18" i="13" s="1"/>
  <c r="AN14" i="19"/>
  <c r="AN14" i="15"/>
  <c r="AO15" i="15"/>
  <c r="AO14" i="15" s="1"/>
  <c r="AU17" i="15"/>
  <c r="AT17" i="15"/>
  <c r="AV17" i="15" s="1"/>
  <c r="AU21" i="15"/>
  <c r="AT21" i="15"/>
  <c r="AV21" i="15" s="1"/>
  <c r="AV19" i="15" s="1"/>
  <c r="AU19" i="15"/>
  <c r="AM14" i="15"/>
  <c r="AQ15" i="15"/>
  <c r="AQ14" i="15" s="1"/>
  <c r="AT18" i="15"/>
  <c r="AU18" i="15"/>
  <c r="W17" i="21"/>
  <c r="X17" i="21"/>
  <c r="W15" i="21"/>
  <c r="X15" i="21"/>
  <c r="X14" i="21" s="1"/>
  <c r="AC24" i="23"/>
  <c r="Z21" i="23"/>
  <c r="AB19" i="23"/>
  <c r="AA19" i="23"/>
  <c r="AC19" i="23" s="1"/>
  <c r="AB22" i="23"/>
  <c r="V21" i="23"/>
  <c r="V20" i="23" s="1"/>
  <c r="U20" i="23"/>
  <c r="V15" i="23"/>
  <c r="V14" i="23" s="1"/>
  <c r="U14" i="23"/>
  <c r="AA22" i="23"/>
  <c r="S17" i="25"/>
  <c r="T17" i="25" s="1"/>
  <c r="U17" i="25" s="1"/>
  <c r="R19" i="25"/>
  <c r="J18" i="25"/>
  <c r="S16" i="25"/>
  <c r="H15" i="25"/>
  <c r="H14" i="25" s="1"/>
  <c r="V18" i="25"/>
  <c r="AA21" i="25"/>
  <c r="Z21" i="25"/>
  <c r="AB21" i="25" s="1"/>
  <c r="Z23" i="25"/>
  <c r="AB23" i="25" s="1"/>
  <c r="AA23" i="25"/>
  <c r="Z20" i="25"/>
  <c r="AA20" i="25"/>
  <c r="U22" i="25"/>
  <c r="Y22" i="25"/>
  <c r="W17" i="25" l="1"/>
  <c r="Y17" i="25" s="1"/>
  <c r="Y21" i="21"/>
  <c r="Y20" i="21" s="1"/>
  <c r="X20" i="21"/>
  <c r="W14" i="21"/>
  <c r="Y17" i="21"/>
  <c r="AS15" i="15"/>
  <c r="AT19" i="15"/>
  <c r="AH12" i="30"/>
  <c r="AG13" i="30"/>
  <c r="AY24" i="29"/>
  <c r="AY22" i="29" s="1"/>
  <c r="AZ24" i="29"/>
  <c r="AZ22" i="29" s="1"/>
  <c r="AX22" i="29"/>
  <c r="AX14" i="29"/>
  <c r="AZ15" i="29"/>
  <c r="AZ14" i="29" s="1"/>
  <c r="AY15" i="29"/>
  <c r="AY14" i="29" s="1"/>
  <c r="BA27" i="29"/>
  <c r="BA26" i="29" s="1"/>
  <c r="BE15" i="27"/>
  <c r="BE14" i="27" s="1"/>
  <c r="BD18" i="13"/>
  <c r="BD17" i="13" s="1"/>
  <c r="BB17" i="13"/>
  <c r="AX18" i="13"/>
  <c r="AX17" i="13" s="1"/>
  <c r="AW17" i="13"/>
  <c r="BE15" i="13"/>
  <c r="BE14" i="13" s="1"/>
  <c r="AV18" i="15"/>
  <c r="Y15" i="21"/>
  <c r="AC22" i="23"/>
  <c r="AB21" i="23"/>
  <c r="AB20" i="23" s="1"/>
  <c r="AA21" i="23"/>
  <c r="AA20" i="23" s="1"/>
  <c r="Z20" i="23"/>
  <c r="Z14" i="23"/>
  <c r="AB15" i="23"/>
  <c r="AB14" i="23" s="1"/>
  <c r="AA15" i="23"/>
  <c r="AA14" i="23" s="1"/>
  <c r="AA17" i="25"/>
  <c r="Z17" i="25"/>
  <c r="AB20" i="25"/>
  <c r="J15" i="25"/>
  <c r="J14" i="25" s="1"/>
  <c r="O15" i="25"/>
  <c r="O14" i="25" s="1"/>
  <c r="V15" i="25"/>
  <c r="V14" i="25" s="1"/>
  <c r="W16" i="25"/>
  <c r="T16" i="25"/>
  <c r="U16" i="25" s="1"/>
  <c r="S19" i="25"/>
  <c r="T19" i="25" s="1"/>
  <c r="R18" i="25"/>
  <c r="Z22" i="25"/>
  <c r="AA22" i="25"/>
  <c r="AB22" i="25"/>
  <c r="AI13" i="30" l="1"/>
  <c r="AI12" i="30" s="1"/>
  <c r="Y16" i="25"/>
  <c r="Z16" i="25" s="1"/>
  <c r="AB17" i="25"/>
  <c r="Y14" i="21"/>
  <c r="AG12" i="30"/>
  <c r="BA15" i="29"/>
  <c r="BA14" i="29" s="1"/>
  <c r="BA24" i="29"/>
  <c r="BA22" i="29" s="1"/>
  <c r="BC18" i="13"/>
  <c r="AS14" i="15"/>
  <c r="AU15" i="15"/>
  <c r="AU14" i="15" s="1"/>
  <c r="AT15" i="15"/>
  <c r="AT14" i="15" s="1"/>
  <c r="AC21" i="23"/>
  <c r="AC20" i="23" s="1"/>
  <c r="AC15" i="23"/>
  <c r="AC14" i="23" s="1"/>
  <c r="AA16" i="25"/>
  <c r="U19" i="25"/>
  <c r="U18" i="25" s="1"/>
  <c r="T18" i="25"/>
  <c r="R15" i="25"/>
  <c r="R14" i="25" s="1"/>
  <c r="S18" i="25"/>
  <c r="W19" i="25"/>
  <c r="W18" i="25" s="1"/>
  <c r="Y19" i="25"/>
  <c r="BC17" i="13" l="1"/>
  <c r="BE18" i="13"/>
  <c r="BE17" i="13" s="1"/>
  <c r="AV15" i="15"/>
  <c r="AV14" i="15" s="1"/>
  <c r="Z19" i="25"/>
  <c r="Z18" i="25" s="1"/>
  <c r="AA19" i="25"/>
  <c r="AA18" i="25" s="1"/>
  <c r="Y18" i="25"/>
  <c r="S15" i="25"/>
  <c r="S14" i="25" s="1"/>
  <c r="AB16" i="25"/>
  <c r="AB19" i="25" l="1"/>
  <c r="AB18" i="25" s="1"/>
  <c r="W15" i="25"/>
  <c r="W14" i="25" s="1"/>
  <c r="T15" i="25"/>
  <c r="Y15" i="25" l="1"/>
  <c r="Y14" i="25" s="1"/>
  <c r="T14" i="25"/>
  <c r="U15" i="25"/>
  <c r="U14" i="25" s="1"/>
  <c r="AA15" i="25" l="1"/>
  <c r="AA14" i="25" s="1"/>
  <c r="Z15" i="25"/>
  <c r="Z14" i="25" s="1"/>
  <c r="AB15" i="25" l="1"/>
  <c r="AB14" i="25" s="1"/>
</calcChain>
</file>

<file path=xl/comments1.xml><?xml version="1.0" encoding="utf-8"?>
<comments xmlns="http://schemas.openxmlformats.org/spreadsheetml/2006/main">
  <authors>
    <author>Victoria Andrievschi</author>
  </authors>
  <commentList>
    <comment ref="P15" authorId="0" shapeId="0">
      <text>
        <r>
          <rPr>
            <sz val="9"/>
            <color indexed="81"/>
            <rFont val="Segoe UI"/>
            <family val="2"/>
          </rPr>
          <t>doctor habilitat/
doctor</t>
        </r>
      </text>
    </comment>
    <comment ref="R15" authorId="0" shapeId="0">
      <text>
        <r>
          <rPr>
            <sz val="9"/>
            <color indexed="81"/>
            <rFont val="Segoe UI"/>
            <family val="2"/>
          </rPr>
          <t>… al poporului, maestru in arta
… emerit, mester faur, maestru al literaturii</t>
        </r>
      </text>
    </comment>
  </commentList>
</comments>
</file>

<file path=xl/comments2.xml><?xml version="1.0" encoding="utf-8"?>
<comments xmlns="http://schemas.openxmlformats.org/spreadsheetml/2006/main">
  <authors>
    <author>Victoria Andrievschi</author>
  </authors>
  <commentList>
    <comment ref="N7" authorId="0" shapeId="0">
      <text>
        <r>
          <rPr>
            <sz val="9"/>
            <color indexed="81"/>
            <rFont val="Segoe UI"/>
            <family val="2"/>
          </rPr>
          <t>… al poporului, maestru in arta
… emerit, mester faur, maestru al literaturii</t>
        </r>
      </text>
    </comment>
    <comment ref="N15" authorId="0" shapeId="0">
      <text>
        <r>
          <rPr>
            <sz val="9"/>
            <color indexed="81"/>
            <rFont val="Segoe UI"/>
            <family val="2"/>
          </rPr>
          <t>… al poporului, maestru in arta
… emerit, mester faur, maestru al literaturii</t>
        </r>
      </text>
    </comment>
    <comment ref="N16" authorId="0" shapeId="0">
      <text>
        <r>
          <rPr>
            <sz val="9"/>
            <color indexed="81"/>
            <rFont val="Segoe UI"/>
            <family val="2"/>
          </rPr>
          <t>… al poporului, maestru in arta
… emerit, mester faur, maestru al literaturii</t>
        </r>
      </text>
    </comment>
  </commentList>
</comments>
</file>

<file path=xl/comments3.xml><?xml version="1.0" encoding="utf-8"?>
<comments xmlns="http://schemas.openxmlformats.org/spreadsheetml/2006/main">
  <authors>
    <author>Victoria Andrievschi</author>
  </authors>
  <commentList>
    <comment ref="M7" authorId="0" shapeId="0">
      <text>
        <r>
          <rPr>
            <sz val="9"/>
            <color indexed="81"/>
            <rFont val="Segoe UI"/>
            <family val="2"/>
          </rPr>
          <t>… al poporului, maestru in arta
… emerit, mester faur, maestru al literaturii</t>
        </r>
      </text>
    </comment>
    <comment ref="K15" authorId="0" shapeId="0">
      <text>
        <r>
          <rPr>
            <b/>
            <sz val="9"/>
            <color indexed="81"/>
            <rFont val="Segoe UI"/>
            <family val="2"/>
          </rPr>
          <t>doctor habilitat sau doctor</t>
        </r>
      </text>
    </comment>
    <comment ref="M15" authorId="0" shapeId="0">
      <text>
        <r>
          <rPr>
            <sz val="9"/>
            <color indexed="81"/>
            <rFont val="Segoe UI"/>
            <family val="2"/>
          </rPr>
          <t>… al poporului, maestru in arta
… emerit, mester faur, maestru al literaturii</t>
        </r>
      </text>
    </comment>
  </commentList>
</comments>
</file>

<file path=xl/sharedStrings.xml><?xml version="1.0" encoding="utf-8"?>
<sst xmlns="http://schemas.openxmlformats.org/spreadsheetml/2006/main" count="1330" uniqueCount="554">
  <si>
    <t>Categoria de salarizare</t>
  </si>
  <si>
    <t>%</t>
  </si>
  <si>
    <t>Nr. d/o</t>
  </si>
  <si>
    <t>Norma didactică săptămînală / anuală pentru un post didactic</t>
  </si>
  <si>
    <t xml:space="preserve">Șarja didactică săptămînală / anuală </t>
  </si>
  <si>
    <t>p/u posturi / unități aprobate</t>
  </si>
  <si>
    <t>Nr. posturi / unități aprobat</t>
  </si>
  <si>
    <t>grad / titlu</t>
  </si>
  <si>
    <t>titlu</t>
  </si>
  <si>
    <t>Numele, prenumele, patronimicul</t>
  </si>
  <si>
    <t>numărul de puncte</t>
  </si>
  <si>
    <t>nr. de calculatoare în stare de funcționare</t>
  </si>
  <si>
    <t>6 = 4 * 5</t>
  </si>
  <si>
    <t>8 = 6 * 7 / 100%</t>
  </si>
  <si>
    <t>16 = 6 * 15 / 100%</t>
  </si>
  <si>
    <t>Total ajutorul material</t>
  </si>
  <si>
    <t>Vechime în muncă în specialitate p/u stabilirea categoriei de salarizare</t>
  </si>
  <si>
    <t>numărul de ore prestate la domiciliu</t>
  </si>
  <si>
    <t>numărul de ore lucrate noaptea</t>
  </si>
  <si>
    <t>numărul de fonduri lunare</t>
  </si>
  <si>
    <t>Nr. unități aprobat</t>
  </si>
  <si>
    <t>p/u o unitate</t>
  </si>
  <si>
    <t>p/u unități aprobate</t>
  </si>
  <si>
    <t>număr de puncte</t>
  </si>
  <si>
    <t>8 = 6 * 7</t>
  </si>
  <si>
    <t>28 = 8 * 10%</t>
  </si>
  <si>
    <t>10 = 8 * 9</t>
  </si>
  <si>
    <t>12 = 10 * 11 / 100%</t>
  </si>
  <si>
    <t>24 = 13 * 30%</t>
  </si>
  <si>
    <t>26 = 13 * 25 / 100%</t>
  </si>
  <si>
    <t>8 = 7 / 6</t>
  </si>
  <si>
    <t>15 = 13 * 14 / 100%</t>
  </si>
  <si>
    <t>23 = 13 * 22 / 100%</t>
  </si>
  <si>
    <t>23 = 8 * 22 / 100%</t>
  </si>
  <si>
    <t>18 = 8 * 17 / 100%</t>
  </si>
  <si>
    <t>13 = 10 + 12</t>
  </si>
  <si>
    <t>10 = 8 * 9 / 100%</t>
  </si>
  <si>
    <t>19 = 8 * 30%</t>
  </si>
  <si>
    <t>Nr.  unități aprobat</t>
  </si>
  <si>
    <t>19 = 6 * 18 / 100%</t>
  </si>
  <si>
    <t>21 = 6 * 20 / 100%</t>
  </si>
  <si>
    <t>22 = 6 * 20%</t>
  </si>
  <si>
    <t>17 = 6 * 30%</t>
  </si>
  <si>
    <t>23 = 21 * 2 luni - 22</t>
  </si>
  <si>
    <t>25 = 6</t>
  </si>
  <si>
    <t>20 = 8 * 20%</t>
  </si>
  <si>
    <t>21 = 8 * 10%</t>
  </si>
  <si>
    <t>25 = 8 * 24 / 100%</t>
  </si>
  <si>
    <t>27 = 8 * 26 / 100%</t>
  </si>
  <si>
    <t>13 = 8 * 30%</t>
  </si>
  <si>
    <t>15 = 8 * 14 / 100%</t>
  </si>
  <si>
    <t>17 = 8 * 16 / 100%</t>
  </si>
  <si>
    <t>18 = (8 + 10) * 30%</t>
  </si>
  <si>
    <t>19 = (8 + 10) * 50%</t>
  </si>
  <si>
    <t>22= 8 + 10 + 12 + 13 + 15 + 17 + 18 + 19 + 21</t>
  </si>
  <si>
    <t>23 = 22</t>
  </si>
  <si>
    <t>11 = 6 * 30%</t>
  </si>
  <si>
    <t>15 = 6 + 8 + 10 + 11 + 12 + 14</t>
  </si>
  <si>
    <t>16 = 15 * 4 luni</t>
  </si>
  <si>
    <t>17 = 15</t>
  </si>
  <si>
    <t>19 = 6</t>
  </si>
  <si>
    <t>22 = 8</t>
  </si>
  <si>
    <t>19 = 18 * 2 luni</t>
  </si>
  <si>
    <t>20 = 18 + 19 / 12 luni</t>
  </si>
  <si>
    <t>Impactul premiului anual asupra mărimii indemnizației de concediu</t>
  </si>
  <si>
    <t>26 = 25 / 12 luni</t>
  </si>
  <si>
    <t>25 = 8</t>
  </si>
  <si>
    <t>numărul de ore prestate în timp de noapte</t>
  </si>
  <si>
    <t>9 = 6 * 30%</t>
  </si>
  <si>
    <t>11 = 6 / 169 ore * 10 * 50%</t>
  </si>
  <si>
    <t>12 = 6 * 10%</t>
  </si>
  <si>
    <t>13 = 6 * 20%</t>
  </si>
  <si>
    <t>14 = 6 * 15%</t>
  </si>
  <si>
    <t>15 = 6 * 25%</t>
  </si>
  <si>
    <t>Nr.unități aprobat</t>
  </si>
  <si>
    <t>7 = 5 * 6</t>
  </si>
  <si>
    <t>9 = 7 * 8</t>
  </si>
  <si>
    <t>11 = 9 * 10 / 100%</t>
  </si>
  <si>
    <t>18 = 9 * 30%</t>
  </si>
  <si>
    <t>33 = 32 * 5 lei</t>
  </si>
  <si>
    <t>35 = 13 * 34 / 100%</t>
  </si>
  <si>
    <t xml:space="preserve"> 39 = 13 * 10%</t>
  </si>
  <si>
    <t>42 = (13 + 15 + 17 + 19 + 21 + 23 + 24 + 26 + 27 + 28 + 29 + 30 + 31 + 33 + 35 + 36 + 37 + 38 + 39 + 41) *  4 trimestre / 12 luni</t>
  </si>
  <si>
    <t>45 = 43 - 42 - 44</t>
  </si>
  <si>
    <t>47 = 13</t>
  </si>
  <si>
    <t>21 = (9 + 11) * 30%</t>
  </si>
  <si>
    <t>22 = (9 + 11) * 50%</t>
  </si>
  <si>
    <t>Denumirea subdiviziunii, titlul funcției, disciplina de predare</t>
  </si>
  <si>
    <t>Denumirea subdiviziunii, titlul funcției</t>
  </si>
  <si>
    <t>Nr. posturi</t>
  </si>
  <si>
    <t>p/u posturi aprobate</t>
  </si>
  <si>
    <t>17 = 6 * 10%</t>
  </si>
  <si>
    <t>22 = 6 * 5%</t>
  </si>
  <si>
    <t>25 = 6 + 8 + 10 + 12 + 14 + 16 + 17 + 19 + 21 + 22 + 24</t>
  </si>
  <si>
    <t>27 = 25 - 26</t>
  </si>
  <si>
    <t>29 = 6</t>
  </si>
  <si>
    <t>11 = 8 * 10 / 100%</t>
  </si>
  <si>
    <t>13 =  8 * 12 / 100%</t>
  </si>
  <si>
    <t>14 = 8 + 11 + 13</t>
  </si>
  <si>
    <t>16 = 14 * 15 / 100%</t>
  </si>
  <si>
    <t>18 = 14 * 17 / 100%</t>
  </si>
  <si>
    <t>26 = 14 * 25 / 100%</t>
  </si>
  <si>
    <t>27 = 14 * 30%</t>
  </si>
  <si>
    <t>29 = 14 * 28 / 100%</t>
  </si>
  <si>
    <t>31 = 14 * 30/ 100%</t>
  </si>
  <si>
    <t>34 = 14 * 20%</t>
  </si>
  <si>
    <t>23 = 9 * 30%</t>
  </si>
  <si>
    <t>24 = 9 * 20%</t>
  </si>
  <si>
    <t>26 = 9 * 25 / 100%</t>
  </si>
  <si>
    <t>27 = 9 * 10%</t>
  </si>
  <si>
    <t>28 = 9 * 20%</t>
  </si>
  <si>
    <t xml:space="preserve"> 29 = 9 * 10%</t>
  </si>
  <si>
    <t>30  = 9 * 20%</t>
  </si>
  <si>
    <t>32 = 9 * 20%</t>
  </si>
  <si>
    <t>33 = 9 * 10%</t>
  </si>
  <si>
    <t>35 = 9 * 34 / 100%</t>
  </si>
  <si>
    <t>37 = 9 * 36 / 100%</t>
  </si>
  <si>
    <t>39 = 9 * 38 / 100%</t>
  </si>
  <si>
    <t>40 = 9 * 10%</t>
  </si>
  <si>
    <t>29 = 8 * 20%</t>
  </si>
  <si>
    <t>18 = 6 * 20%</t>
  </si>
  <si>
    <t>14 = 8 * 10%</t>
  </si>
  <si>
    <t>15 = 8 * 20%</t>
  </si>
  <si>
    <t>18 = 8 + 10 + 12 + 13 + 14 + 15 + 17</t>
  </si>
  <si>
    <t>16 = 6 * 20%</t>
  </si>
  <si>
    <t>19 = 6 + 8 + 9 + 11 + 12 + 13 + 14 + 15 + 16 + 18</t>
  </si>
  <si>
    <t>21 = 19 - 20</t>
  </si>
  <si>
    <t>23 = 6</t>
  </si>
  <si>
    <t>28 = 25 + 26 + 27</t>
  </si>
  <si>
    <t>(Tabelul este elaborat în baza anexelor nr.7, nr.8, nr.9, nr.10 și nr.11 la HG nr.381 din 13.04.2006 cu privire la condițiile de salarizare a personalului din unitățile bugetare)</t>
  </si>
  <si>
    <t>(Tabelul este elaborat în baza anexei nr.1 la HG nr.381 din 13.04.2006 cu privire la condițiile de salarizare a personalului din unitățile bugetare)</t>
  </si>
  <si>
    <t>(Tabelul este elaborat în baza anexei nr.4 la HG nr.381 din 13.04.2006 cu privire la condițiile de salarizare a personalului din unitățile bugetare)</t>
  </si>
  <si>
    <t>(Tabelul este elaborat în baza anexei nr.5 la HG nr.381 din 13.04.2006 cu privire la condițiile de salarizare a personalului din unitățile bugetare)</t>
  </si>
  <si>
    <t>(Tabelul este elaborat în baza anexei nr.6 la HG nr.381 din 13.04.2006 cu privire la condițiile de salarizare a personalului din unitățile bugetare)</t>
  </si>
  <si>
    <t>(Tabelul este elaborat în baza pct.7 din note la anexa nr.10 la HG nr.381 din 13.04.2006 cu privire la condițiile de salarizare a personalului din unitățile bugetare)</t>
  </si>
  <si>
    <t>(Tabelul este elaborat în baza anexei nr.12 la HG nr.381 din 13.04.2006 cu privire la condițiile de salarizare a personalului din unitățile bugetare)</t>
  </si>
  <si>
    <t>(Tabelul este elaborat în baza anexei nr.13 la HG nr.381 din 13.04.2006 cu privire la condițiile de salarizare a personalului din unitățile bugetare)</t>
  </si>
  <si>
    <t>(Tabelul este elaborat în baza anexei nr.14 la HG nr.381 din 13.04.2006 cu privire la condițiile de salarizare a personalului din unitățile bugetare)</t>
  </si>
  <si>
    <t>(Tabelul este elaborat în baza anexei nr.15 la HG nr.381 din 13.04.2006 cu privire la condițiile de salarizare a personalului din unitățile bugetare)</t>
  </si>
  <si>
    <t>Nr. Posturi aprobat</t>
  </si>
  <si>
    <t>(Tabelul este elaborat în baza anexelor nr.1, nr.2, nr.3, nr.4, nr.5, nr.7, nr.8, nr.9, nr.10 și nr.11 la HG nr.381 din 13.04.2006 cu privire la condițiile de salarizare a personalului din unitățile bugetare)</t>
  </si>
  <si>
    <t>(Tabelul este elaborat în baza anexei nr.2 la HG nr.381 din 13.04.2006 cu privire la condițiile de salarizare a personalului din unitățile bugetare)</t>
  </si>
  <si>
    <t>suma, lei</t>
  </si>
  <si>
    <t>7 = 6/5</t>
  </si>
  <si>
    <t>12 = 9 + 11</t>
  </si>
  <si>
    <t>14 = 12 * 13 / 100%</t>
  </si>
  <si>
    <t>22 = 12 * 21 / 100%</t>
  </si>
  <si>
    <t>23 = 12 * 30%</t>
  </si>
  <si>
    <t>25 = 12 * 24 / 100%</t>
  </si>
  <si>
    <t>27 = 12 * 26 / 100%</t>
  </si>
  <si>
    <t>29 = 12 *28 / 100%</t>
  </si>
  <si>
    <t>31 = 12 * 30 / 100%</t>
  </si>
  <si>
    <t>32 = 12 * 10%</t>
  </si>
  <si>
    <t>35 = 12 * 34 / 100%</t>
  </si>
  <si>
    <t>16 = 6* 15 / 100%</t>
  </si>
  <si>
    <t>21 =  6 + 8 + 10 + 12 + 14 + 16 + 17 + 18 + 20</t>
  </si>
  <si>
    <t>Salariu de bază</t>
  </si>
  <si>
    <t>12 = 8 * 11 / 100%</t>
  </si>
  <si>
    <t>15 = 8 * 30%</t>
  </si>
  <si>
    <t>16 = 8 * 20%</t>
  </si>
  <si>
    <t>19 = 8 + 10 + 12 + 14 + 15 + 16 + 18</t>
  </si>
  <si>
    <t>23 = 8</t>
  </si>
  <si>
    <r>
      <t>Salariu lunar,</t>
    </r>
    <r>
      <rPr>
        <sz val="10"/>
        <color theme="1"/>
        <rFont val="Cambria"/>
        <family val="1"/>
        <charset val="204"/>
        <scheme val="major"/>
      </rPr>
      <t xml:space="preserve"> lei</t>
    </r>
  </si>
  <si>
    <r>
      <t xml:space="preserve">Fondul anual de salarizare, </t>
    </r>
    <r>
      <rPr>
        <sz val="10"/>
        <color theme="1"/>
        <rFont val="Cambria"/>
        <family val="1"/>
        <charset val="204"/>
        <scheme val="major"/>
      </rPr>
      <t>mii lei</t>
    </r>
  </si>
  <si>
    <t>coduri</t>
  </si>
  <si>
    <t>Notă:</t>
  </si>
  <si>
    <t>Contributii de asigurari sociale de stat obligatorii (212100) (23%, anual, mii lei)</t>
  </si>
  <si>
    <t>Prime de asigurare obligatorie de asistenta medicala (212200) (4,5%, anual, mii lei )</t>
  </si>
  <si>
    <r>
      <t>Spor p/u înaltă competență profesională, intensitatea muncii și îndeplinirea unor sarcini de importanță majoră, precum și p/u caracterul individualizat și specific de activitate</t>
    </r>
    <r>
      <rPr>
        <b/>
        <sz val="10"/>
        <color theme="1"/>
        <rFont val="Calibri"/>
        <family val="2"/>
        <charset val="204"/>
        <scheme val="minor"/>
      </rPr>
      <t/>
    </r>
  </si>
  <si>
    <t>Salariu de funcție cnf categoriei de salarizare / salariul lunar p/u cadrele didactice, lei</t>
  </si>
  <si>
    <t>Studii (superioare, superioare incomplete, medii de specialitate, medii, fără studii medii de specialitate, fără studii)</t>
  </si>
  <si>
    <t>Indemnizația de conducere p/u personalul medical din instituțiile medico-sanitare (pct.4 din Condiții unice aprobate prin HG nr.381/ 13.04.06, tab.2 la anexa nr.3 la HG nr.381/ 13.04.06)</t>
  </si>
  <si>
    <t>Majorarea salariilor conducătorilor instituțiilor de asistență socială în funcție de volumul muncii prestate cu 5% -10% (pct.4 din Note din tabelul nr.3 la anexa nr.3 la HG 381/ 13.04.06)</t>
  </si>
  <si>
    <t>Salariul de bază, lei</t>
  </si>
  <si>
    <t>Spor p/u vechimea în muncă                        10% - 30% din salariul de funcție                              (pct.6 din Condiții unice aprobate prin HG nr.381/ 13.04.06)</t>
  </si>
  <si>
    <t>Spor p/u vechimea în muncă în condiții deosebite                              (pct.8, lit.a) din anexa nr.3 la HG nr.381/ 13.04.06), lei</t>
  </si>
  <si>
    <t>Spor p/u grad științific (pct.7 din Condiții unice aprobate prin HG nr.381/ 13.04.06)</t>
  </si>
  <si>
    <t>Spor p/u titlu onorific (pct.8 din Condiții unice aprobate prin HG nr.381/ 13.04.06)</t>
  </si>
  <si>
    <t>Spor p/u munca prestată în condiții nefavorabile (pct.9 din Condiții unice aprobate prin HG nr.381/ 13.04.06; pct.8, lit.b) din anexa nr.3 la HG nr.381/ 13.04.06)</t>
  </si>
  <si>
    <t>Spor 15% / 25%  din salariul de bază p/u utilizarea limbilor străine (pct.11 din Condiții unice aprobate prin HG nr.381/ 13.04.06)</t>
  </si>
  <si>
    <t>Spor 30% p/u activitate în Zona de securitate (pct.16 din Condiții unice aprobate prin HG nr.381/ 13.04.06), lei</t>
  </si>
  <si>
    <t>Spor p/u condiții specifice și caracterul individualizat de activitate (pct.8, lit.c), lit.d) și lit.g) din anexa nr.3 la HG nr.381/ 13.04.06)</t>
  </si>
  <si>
    <t xml:space="preserve">Spor 10% p/u absolvenții din învățămîntul superior, încadrați în biblioteci (pct.2 din note la tab. nr.4 la anexa nr.4 la HG nr.381 / 13.04.06)  </t>
  </si>
  <si>
    <t>Premie lunară p/u personalul Agenției Medicamentului și Dispozitivelor Medicale și al Consiliului Național p/u Determinarea Dizabilității și Capacității de Muncă (pct.12, alin.1, din anexa nr.3 la HG nr.381 din 13.04.06), p/u personalul instituțiilor sociale din subordinea Ministerului Muncii, protecției Sociale și Familiei (pct.4¹, alin.1, din note la tab.nr.4 la anexa nr.3 la HG nr.381 din 13.04.06), mediatori comunitari (pct.4¹, alin.1, din note la tab.nr.4 la anexa nr.3 la HG nr.381 din 13.04.06) lei</t>
  </si>
  <si>
    <t>Salariu lunar, lei</t>
  </si>
  <si>
    <t>Fondul p/u acordarea premiilor, care se estimează concomitent cu ajutorul material cnf pct.12, alin.1, din anexa nr.3 și pct.4¹, alin.2, din note la tab.nr.4 la anexa nr.3 la HG nr.381/ 13.04.06  (se indică necesarul pe an), lei</t>
  </si>
  <si>
    <t>Ajutor material (pct.12, alin.1, din anexa nr.3 și pct.4¹, alin.2, din note la tab.nr.4 la anexa nr.3 la HG nr.381/ 13.04.06 ), lei</t>
  </si>
  <si>
    <t>Premiu anual            (HG nr.180/ 11.03.13), lei</t>
  </si>
  <si>
    <t>Fondul anual de salarizare, mii lei</t>
  </si>
  <si>
    <t>p/u personalul medical ce acordă asistență medicală urgentă (pct.10, alin.2 din anexa nr.3 la HG nr.381/ 13.04.06)</t>
  </si>
  <si>
    <t>p/u alt personal (pct.10 din anexa nr.3 la HG nr.381/ 13.04.06)</t>
  </si>
  <si>
    <t>20% p/u alte categorii de personal (pct.12 alin.1 din anexa nr.3 la HG nr.381/13.04.06, pct.10 alin.2 Condiții unice aprobate prin HG nr.381/13.04.06), lei</t>
  </si>
  <si>
    <r>
      <rPr>
        <b/>
        <sz val="10"/>
        <color theme="1"/>
        <rFont val="Cambria"/>
        <family val="1"/>
        <charset val="204"/>
        <scheme val="major"/>
      </rPr>
      <t xml:space="preserve">Cheltuieli de personal </t>
    </r>
    <r>
      <rPr>
        <sz val="10"/>
        <color theme="1"/>
        <rFont val="Cambria"/>
        <family val="1"/>
        <charset val="204"/>
        <scheme val="major"/>
      </rPr>
      <t>total,                              mii lei</t>
    </r>
  </si>
  <si>
    <t xml:space="preserve">Supliment 15% p/u personalul de conducere și de profil din cadrul Centrului Național de Creație Populară, bibliotecilor și muzeelor de categoria superioară (pct.4 din note la tab.nr.2 la anexa nr.4 la HG nr.381 / 13.04.06)  </t>
  </si>
  <si>
    <t>Salariu de funcție cnf categoriei de salarizare, lei</t>
  </si>
  <si>
    <r>
      <t>Spor p/u munca prestată în condiții nefavorabile (pct.9 din Condiții unice aprobate prin HG nr.381/ 13.04.06)</t>
    </r>
    <r>
      <rPr>
        <sz val="12.5"/>
        <color theme="1"/>
        <rFont val="Calibri"/>
        <family val="2"/>
        <charset val="204"/>
        <scheme val="minor"/>
      </rPr>
      <t/>
    </r>
  </si>
  <si>
    <t>Categoria de calificare p/u bibliotecari (pct.6 din anexa nr.4 la HG 381/ 13.04.06)</t>
  </si>
  <si>
    <t>Supliment 15%-30% din salariul de funcție p/u deosebită valoare p/u societate (pct.8 din anexa nr.4 la HG 381/ 13.04.06)</t>
  </si>
  <si>
    <r>
      <t>Ajutor material (pct.7 din anexa nr.4 la HG nr.381 din 13.04.06)</t>
    </r>
    <r>
      <rPr>
        <sz val="12.5"/>
        <rFont val="Calibri"/>
        <family val="2"/>
        <charset val="204"/>
        <scheme val="minor"/>
      </rPr>
      <t/>
    </r>
  </si>
  <si>
    <r>
      <t xml:space="preserve">Fondul p/u acordarea premiilor, care se estimează concomitent cu ajutorul material cnf pct.7 din anexa nr.4 la HG nr.381 din 13.04.06 </t>
    </r>
    <r>
      <rPr>
        <i/>
        <sz val="10"/>
        <color theme="1"/>
        <rFont val="Cambria"/>
        <family val="1"/>
        <charset val="204"/>
        <scheme val="major"/>
      </rPr>
      <t xml:space="preserve">(se indică necesarul pe an), </t>
    </r>
    <r>
      <rPr>
        <sz val="10"/>
        <color theme="1"/>
        <rFont val="Cambria"/>
        <family val="1"/>
        <charset val="204"/>
        <scheme val="major"/>
      </rPr>
      <t>lei</t>
    </r>
  </si>
  <si>
    <r>
      <rPr>
        <b/>
        <sz val="10"/>
        <color theme="1"/>
        <rFont val="Cambria"/>
        <family val="1"/>
        <charset val="204"/>
        <scheme val="major"/>
      </rPr>
      <t>Contributii de asigurari sociale de stat obligatori</t>
    </r>
    <r>
      <rPr>
        <sz val="10"/>
        <color theme="1"/>
        <rFont val="Cambria"/>
        <family val="1"/>
        <charset val="204"/>
        <scheme val="major"/>
      </rPr>
      <t>i (212100) (23%, anual, mii lei)</t>
    </r>
  </si>
  <si>
    <r>
      <rPr>
        <b/>
        <sz val="10"/>
        <color theme="1"/>
        <rFont val="Cambria"/>
        <family val="1"/>
        <charset val="204"/>
        <scheme val="major"/>
      </rPr>
      <t xml:space="preserve">Prime de asigurare obligatorie de asistenta medicala </t>
    </r>
    <r>
      <rPr>
        <sz val="10"/>
        <color theme="1"/>
        <rFont val="Cambria"/>
        <family val="1"/>
        <charset val="204"/>
        <scheme val="major"/>
      </rPr>
      <t>(212200) (4,5%, anual, mii lei )</t>
    </r>
  </si>
  <si>
    <r>
      <t xml:space="preserve">Grad didactic (pct.6 din anexa nr.1 și pct.2 din note la tab.nr.1 la anexa nr.5 la HG nr.381/ 13.04.06) </t>
    </r>
    <r>
      <rPr>
        <b/>
        <sz val="11.5"/>
        <rFont val="Calibri"/>
        <family val="2"/>
        <charset val="204"/>
        <scheme val="minor"/>
      </rPr>
      <t/>
    </r>
  </si>
  <si>
    <t xml:space="preserve">Spor 10% directorilor școlilor sportive ce dispun de bază sportivă (pct.2 din note la tab.nr.1¹ la anexa nr.5 la HG nr.381 / 13.04.06), lei  </t>
  </si>
  <si>
    <r>
      <t xml:space="preserve">Fondul p/u acordarea premiilor, care se estimează concomitent cu ajutorul material cnf pct. 8 din anexa nr.5 la HG nr.381 din 13.04.06 </t>
    </r>
    <r>
      <rPr>
        <i/>
        <sz val="10"/>
        <color theme="1"/>
        <rFont val="Cambria"/>
        <family val="1"/>
        <charset val="204"/>
        <scheme val="major"/>
      </rPr>
      <t xml:space="preserve">(se indică necesarul pe an), </t>
    </r>
    <r>
      <rPr>
        <sz val="10"/>
        <color theme="1"/>
        <rFont val="Cambria"/>
        <family val="1"/>
        <charset val="204"/>
        <scheme val="major"/>
      </rPr>
      <t>lei</t>
    </r>
  </si>
  <si>
    <r>
      <t xml:space="preserve">Fondul p/u acordarea premiilor, care se estimează concomitent cu ajutorul material cnf pct. 3 din anexa nr.6 la HG nr.381 din 13.04.06 </t>
    </r>
    <r>
      <rPr>
        <i/>
        <sz val="10"/>
        <color theme="1"/>
        <rFont val="Cambria"/>
        <family val="1"/>
        <charset val="204"/>
        <scheme val="major"/>
      </rPr>
      <t xml:space="preserve">(se indică necesarul pe an), </t>
    </r>
    <r>
      <rPr>
        <sz val="10"/>
        <color theme="1"/>
        <rFont val="Cambria"/>
        <family val="1"/>
        <charset val="204"/>
        <scheme val="major"/>
      </rPr>
      <t>lei</t>
    </r>
  </si>
  <si>
    <t>Ajutor material (pct. 3 din anexa nr.6 la HG nr.381 din 13.04.06), lei</t>
  </si>
  <si>
    <t>Coeficientul complexității (anexa nr.9; pct.1, 3 și 4 din note la tabel la anexa nr.10 la HG nr.381/ 13.04.06)</t>
  </si>
  <si>
    <t>Total salariul tarifar / de bază, lei</t>
  </si>
  <si>
    <t>Supliment 20% din salariul tarifar bucătarilor - șefi p/u volum de lucru (pct.4 din note la tabel la anexa nr.7 la HG nr.381/ 13.04.06), lei</t>
  </si>
  <si>
    <t>Spor 10% / 25% din salariul tarifar șoferilor p/u clasa de calificare  (pct.2 din note la tabel la anexa nr.10 la HG nr.381/ 13.04.06), lei</t>
  </si>
  <si>
    <t>Spor pînă la  25% din salariul tarifar șoferilor p/u intensitatea muncii în perioada activităților în condiții de campanie  (pct.5 din note la tabel la anexa nr.10 la HG nr.381/ 13.04.06), lei</t>
  </si>
  <si>
    <t>Spor pînă la 50% din salariul tarifar șoferilor de autobuze școlare p/u înaltă responsabilitate (pct.8 din note la tabel la anexa nr.10 la HG nr.381/ 13.04.06), lei</t>
  </si>
  <si>
    <t>Spor 10% din salariul tarifar îngrijitorilor de încăperi și closete publice și cameristelor p/u utilizarea substanțelor dezinfestante (pct.6 din note la tabel la anexa nr.11 la HG nr.381/ 13.04.06), lei</t>
  </si>
  <si>
    <t>Spor 20% p/u intensitatea muncii, (pct.10 alin.2 din Condiții unice aprobate prin HG nr.381/13.04.06) lei</t>
  </si>
  <si>
    <r>
      <t xml:space="preserve">Fondul p/u acordarea premiilor, care se estimează concomitent cu ajutorul material cnf pct.13 alin.2 din  Condiții unice aprobate prin HG nr.381 din 13.04.06 </t>
    </r>
    <r>
      <rPr>
        <i/>
        <sz val="10"/>
        <color theme="1"/>
        <rFont val="Cambria"/>
        <family val="1"/>
        <charset val="204"/>
        <scheme val="major"/>
      </rPr>
      <t xml:space="preserve">(se indică necesarul pe an), </t>
    </r>
    <r>
      <rPr>
        <sz val="10"/>
        <color theme="1"/>
        <rFont val="Cambria"/>
        <family val="1"/>
        <charset val="204"/>
        <scheme val="major"/>
      </rPr>
      <t>lei</t>
    </r>
  </si>
  <si>
    <t>Ajutor material (pct.13 alin.2 din Condiții unice aprobate prin HG nr.381/ 13.04.06), lei</t>
  </si>
  <si>
    <r>
      <t xml:space="preserve">Supliment 10% din salariul de bază șefilor de cămine p/u desfășurarea lucrului educativ cu locatari </t>
    </r>
    <r>
      <rPr>
        <sz val="9"/>
        <color theme="1"/>
        <rFont val="Cambria"/>
        <family val="1"/>
        <charset val="204"/>
        <scheme val="major"/>
      </rPr>
      <t>(pct.7 din note la tabel la anexa nr.8 la HG nr.381/ 13.04.06)</t>
    </r>
    <r>
      <rPr>
        <sz val="10"/>
        <color theme="1"/>
        <rFont val="Cambria"/>
        <family val="1"/>
        <charset val="204"/>
        <scheme val="major"/>
      </rPr>
      <t>, lei</t>
    </r>
  </si>
  <si>
    <r>
      <t>Salariu tarifar / de funcție</t>
    </r>
    <r>
      <rPr>
        <sz val="10"/>
        <color theme="1"/>
        <rFont val="Cambria"/>
        <family val="1"/>
        <charset val="204"/>
        <scheme val="major"/>
      </rPr>
      <t xml:space="preserve"> cnf categoriei de salarizare, lei</t>
    </r>
  </si>
  <si>
    <t>Spor p/u vechimea în muncă                        10% - 30% din salariul tarifar                              (pct.7, alin.2, din note la tabel la anexa nr.10 la HG nr.381/ 13.04.06)</t>
  </si>
  <si>
    <t>Spor 10% / 25% din salariul tarifar șoferilor p/u clasa de calificare  (pct.2 din note la tabel la anexa nr.10 la HG nr.381/ 13.04.06)</t>
  </si>
  <si>
    <t>Spor pînă la  25% din salariul tarifar șoferilor p/u intensitatea muncii în perioada activităților în condiții de campanie (pct.5 din note la tabel la anexa nr.10 la HG nr.381/ 13.04.06)</t>
  </si>
  <si>
    <t>Spor p/u intensitatea muncii, 30% din salariul tarifar, ținînd cont de sporul p/u vechime în muncă (pct.7, alin.3, din note la tabel la anexa nr.10 la HG nr.381/ 13.04.06), lei</t>
  </si>
  <si>
    <t>Premiu lunar, 50% din salariul tarifar, ținînd cont de sporul p/u vechime în muncă (pct.7, alin.4, din note la tabel la anexa nr.10 la HG nr.381/ 13.04.06), lei</t>
  </si>
  <si>
    <t>Ajutor material (pct.7, alin.5, din note la tabel la anexa nr.10 la HG nr.381/ 13.04.06), lei</t>
  </si>
  <si>
    <r>
      <t xml:space="preserve">Salariu tarifar / de funcție </t>
    </r>
    <r>
      <rPr>
        <sz val="10"/>
        <color theme="1"/>
        <rFont val="Cambria"/>
        <family val="1"/>
        <charset val="204"/>
        <scheme val="major"/>
      </rPr>
      <t>cnf categoriei de salarizare, lei</t>
    </r>
  </si>
  <si>
    <t>Spor p/u vechimea în muncă                        10% - 30% din salariul tarifar                              (pct.6 din Condiții unice aprobate prin HG nr.381/ 13.04.06)</t>
  </si>
  <si>
    <t>Premiere trimestrială (pct.2, alin.2, din anexa nr.12 la HG nr.381/ 13.04.06), lei</t>
  </si>
  <si>
    <t>Ajutor material (pct.2, alin.3, din anexa nr.12 la HG nr.381/ 13.04.06), lei</t>
  </si>
  <si>
    <r>
      <t>Grad didactic (pct.6 din anexa nr.1 la HG nr.381/ 13.04.06) / categoria de calificare p/u personalul medical (pct.4 din anexa nr.3 la HG 381/ 13.04.06)</t>
    </r>
    <r>
      <rPr>
        <b/>
        <sz val="11.5"/>
        <color theme="1"/>
        <rFont val="Calibri"/>
        <family val="2"/>
        <charset val="204"/>
        <scheme val="minor"/>
      </rPr>
      <t/>
    </r>
  </si>
  <si>
    <t>Spor 20% p/u intensitatea muncii (pct.10 alin.2 din Condiții unice aprobate prin HG nr.381/13.04.06), lei</t>
  </si>
  <si>
    <r>
      <t xml:space="preserve">Fondul p/u acordarea premiilor, care se estimează concomitent cu ajutorul material (pct.13 din Condiții unice aprobate prin HG nr.381 din 13.04.06) </t>
    </r>
    <r>
      <rPr>
        <i/>
        <sz val="10"/>
        <color theme="1"/>
        <rFont val="Cambria"/>
        <family val="1"/>
        <charset val="204"/>
        <scheme val="major"/>
      </rPr>
      <t xml:space="preserve">(se indică necesarul pe an), </t>
    </r>
    <r>
      <rPr>
        <sz val="10"/>
        <color theme="1"/>
        <rFont val="Cambria"/>
        <family val="1"/>
        <charset val="204"/>
        <scheme val="major"/>
      </rPr>
      <t>lei</t>
    </r>
  </si>
  <si>
    <t>Ajutor material (pct.2, alin.2, din anexa nr.14 la HG nr.381 din 13.04.06), lei</t>
  </si>
  <si>
    <r>
      <t xml:space="preserve">Spor p/u vechimea în muncă                        10% - 30% din salariul de funcție                              </t>
    </r>
    <r>
      <rPr>
        <sz val="9"/>
        <color theme="1"/>
        <rFont val="Cambria"/>
        <family val="1"/>
        <charset val="204"/>
        <scheme val="major"/>
      </rPr>
      <t>(pct.6 din Condiții unice aprobate prin HG nr.381/ 13.04.06)</t>
    </r>
  </si>
  <si>
    <r>
      <t>Spor 10% din salariul tarifar îngrijitorilor de încăperi și closete publice și cameristelor p/u utilizarea substanțelor dezinfestante</t>
    </r>
    <r>
      <rPr>
        <sz val="9"/>
        <color theme="1"/>
        <rFont val="Cambria"/>
        <family val="1"/>
        <charset val="204"/>
        <scheme val="major"/>
      </rPr>
      <t xml:space="preserve"> (pct.6 din note la tabel la anexa nr.11 la HG nr.381/ 13.04.06), lei</t>
    </r>
  </si>
  <si>
    <r>
      <t xml:space="preserve">Spor 30% p/u activitate în Zona de securitate </t>
    </r>
    <r>
      <rPr>
        <sz val="9"/>
        <color theme="1"/>
        <rFont val="Cambria"/>
        <family val="1"/>
        <charset val="204"/>
        <scheme val="major"/>
      </rPr>
      <t>(pct.16 din Condiții unice aprobate prin HG nr.381/ 13.04.06), lei</t>
    </r>
  </si>
  <si>
    <r>
      <t xml:space="preserve">Fondul p/u acordarea premiilor (pct.2, alin.2 din anexa nr.14 la HG nr.381 din 13.04.06 </t>
    </r>
    <r>
      <rPr>
        <i/>
        <sz val="10"/>
        <color theme="1"/>
        <rFont val="Cambria"/>
        <family val="1"/>
        <charset val="204"/>
        <scheme val="major"/>
      </rPr>
      <t xml:space="preserve">(se indică necesarul pe an)), </t>
    </r>
    <r>
      <rPr>
        <sz val="10"/>
        <color theme="1"/>
        <rFont val="Cambria"/>
        <family val="1"/>
        <charset val="204"/>
        <scheme val="major"/>
      </rPr>
      <t>lei</t>
    </r>
  </si>
  <si>
    <t>Ajutor material (pct.2 alin.2 din anexa nr.14 la HG nr.381/ 13.04.06), lei</t>
  </si>
  <si>
    <t>Supliment p/u orele prestate în timp de noapte (pct.3 din anexa nr.15 la HG nr.381/ 13.04.06), lei</t>
  </si>
  <si>
    <t>Spor 10% p/u echivalarea cu serviciul de pază militarizat de categoria I (pct.2 din Note la tabel nr.1 la anexa nr.15 la HG nr.381/ 13.04.06), lei</t>
  </si>
  <si>
    <t>Supliment 20% p/u lucru în aparate izolante (pct.3 din Note la tabel nr.1 la anexa nr.15 la HG nr.381/ 13.04.06), lei</t>
  </si>
  <si>
    <t>Supliment 15% p/u depășirea indicilor de raportare celor stabilite în detașamentele de grupa I cu cel puțin de două ori ( pct.4 din Note la tabel nr.1 la anexa nr.15 la HG nr.381/ 13.04.06), lei</t>
  </si>
  <si>
    <t>Supliment 25% p/u condiții de risc sporit (pct.5 din Note la tabel nr.1 la anexa nr.15 la HG nr.381/ 13.04.06), lei</t>
  </si>
  <si>
    <t>Spor 20% p/u intensitatea muncii (pct.10 alin.2 din  Condiții unice aprobate prin HG nr.381/13.04.06), lei</t>
  </si>
  <si>
    <r>
      <t xml:space="preserve">Fondul p/u acordarea premiilor, care se estimează concomitent cu ajutorul material  (pct.13 din Condiții unice la HG nr.381 din 13.04.06 </t>
    </r>
    <r>
      <rPr>
        <i/>
        <sz val="10"/>
        <color theme="1"/>
        <rFont val="Cambria"/>
        <family val="1"/>
        <charset val="204"/>
        <scheme val="major"/>
      </rPr>
      <t xml:space="preserve">(se indică necesarul pe an)), </t>
    </r>
    <r>
      <rPr>
        <sz val="10"/>
        <color theme="1"/>
        <rFont val="Cambria"/>
        <family val="1"/>
        <charset val="204"/>
        <scheme val="major"/>
      </rPr>
      <t>lei</t>
    </r>
  </si>
  <si>
    <r>
      <t xml:space="preserve">Contributii de asigurari sociale de stat obligatorii </t>
    </r>
    <r>
      <rPr>
        <sz val="10"/>
        <color theme="1"/>
        <rFont val="Cambria"/>
        <family val="1"/>
        <charset val="204"/>
        <scheme val="major"/>
      </rPr>
      <t>(212100) (23%, anual, mii lei)</t>
    </r>
  </si>
  <si>
    <r>
      <t xml:space="preserve">Prime de asigurare obligatorie de asistenta medicala </t>
    </r>
    <r>
      <rPr>
        <sz val="10"/>
        <color theme="1"/>
        <rFont val="Cambria"/>
        <family val="1"/>
        <charset val="204"/>
        <scheme val="major"/>
      </rPr>
      <t>(212200) (4,5%, anual, mii lei )</t>
    </r>
  </si>
  <si>
    <r>
      <t xml:space="preserve">Cheltuieli de personal </t>
    </r>
    <r>
      <rPr>
        <sz val="10"/>
        <color theme="1"/>
        <rFont val="Cambria"/>
        <family val="1"/>
        <charset val="204"/>
        <scheme val="major"/>
      </rPr>
      <t>total,                              mii lei</t>
    </r>
  </si>
  <si>
    <r>
      <t xml:space="preserve">Grad didactic (pct.6 din anexa nr.1 la HG nr.381/ 13.04.06) / categorie de calificare p/u personalul medical (pct.4 din anexa nr.3 la HG 381/ 13.04.06) </t>
    </r>
    <r>
      <rPr>
        <sz val="10"/>
        <rFont val="Cambria"/>
        <family val="1"/>
        <charset val="204"/>
        <scheme val="major"/>
      </rPr>
      <t>și bibliotecari (pct.6 din anexa nr.4 la HG 381/ 13.04.06)</t>
    </r>
  </si>
  <si>
    <t>(Tabelul este elaborat în baza anexelor nr.1,  nr.3 si nr.4  la HG nr.381 din 13.04.2006 cu privire la condițiile de salarizare a personalului din unitățile bugetare)</t>
  </si>
  <si>
    <t>Impactul premiului anual şi a fondului p/u acordarea premiilor asupra mărimii indemnizației de concediu</t>
  </si>
  <si>
    <t>Impactul premiului anual şi a fondului p/u adordarea premiilor asupra mărimii indemnizației de concediu</t>
  </si>
  <si>
    <t>30 = (29+26) / 12 luni</t>
  </si>
  <si>
    <t>Spor 20% p/u personalul bibliotecilor (pct.2 din note la tab.nr.2 la anexa nr.4 la HG nr.381/ 13.04.06; pct.3 din note la tab. nr.4 la anexa nr.4 la HG nr.381 / 13.04.06), lei</t>
  </si>
  <si>
    <t>Spor 50% p/u volum sporit de muncă și responsabilități multiple în condițiile înfaptuirii refeormei instituțiilor rezidențiale p/u conducătorii instituțiilor sociale din subordinea Ministerului Muncii, Protecție Sociale și Familiei (pct.8 lit.j din anexa 3 la HG nr.381/13.04.06)</t>
  </si>
  <si>
    <t>40=14*50%</t>
  </si>
  <si>
    <t>41 = 14 * 20%</t>
  </si>
  <si>
    <t>42 = 14 * 10%</t>
  </si>
  <si>
    <t>46 = (14 + 16 + 18 + 20 +22 + 24 + 26 + 27 +29 + 31+33+34 +36+38+ 39+40+41+42+44) * 45 / 12 luni</t>
  </si>
  <si>
    <t>49=47-46-48</t>
  </si>
  <si>
    <t>51 = 14</t>
  </si>
  <si>
    <t>52= (51+48) / 12 luni</t>
  </si>
  <si>
    <t>Impactul premiului anual  şi a fondului p/u acordarea premiilor asupra mărimii indemnizației de concediu</t>
  </si>
  <si>
    <t>36 = 9*35 * 50%</t>
  </si>
  <si>
    <t>38 = 9*37</t>
  </si>
  <si>
    <t>39 = 9*37 * 50%</t>
  </si>
  <si>
    <t>Spor p/u  înaltă competență profesională și intensitate a muncii (pct.10 din Condiții unice aprobate prin HG nr.381/ 13.04.06pct.9 din anexa nr.4 la HG nr.381/ 13.04.06), lei</t>
  </si>
  <si>
    <t xml:space="preserve">Spor 20% p/u personalul (inclusiv şefii) bibliotecilor, căminelor culturale și muzeelor p/u orbi și surzi (pct.3 din note la tab. nr.4 şi pct.2 din note la tab.2 la anexa nr.4 la HG nr.381 / 13.04.06)  </t>
  </si>
  <si>
    <t>Supliment p/u bibliotecari sau alte categorii de personal care deservesc schema de închiriere a manualelor, (pct.4 din note la tab.4 la anexa nr.4 la HG nr.381/ 13.04.06), lei</t>
  </si>
  <si>
    <t>24 = 6 * 10%</t>
  </si>
  <si>
    <t>25 = 6 * 20%</t>
  </si>
  <si>
    <t>32 = 29 * 31     - 30</t>
  </si>
  <si>
    <t>34 = 6</t>
  </si>
  <si>
    <t>35 = (34 +30)/ 12 luni</t>
  </si>
  <si>
    <t>Spor p/u înaltă competență profesională și intensitate a muncii (pct.9 din anexa nr.5 la HG nr.381/ 13.04.06)</t>
  </si>
  <si>
    <t>Supliment 15%-20% p/u activitatea legată nemijlocit de instruirea și deservirea invalizilor și persoanelor cu deficiențe în dezvoltarea fizică și intelectuală (pct.6, alin.3, din anexa nr.5 la HG nr.381/ 13.04.06)</t>
  </si>
  <si>
    <t>Spor pînă la 50% p/u conducători și specialiști cu profil sportiv al Centrului sportiv de pregătire a loturilor naționale (pct.4 din note la tab.nr.2 la anexa nr.5 la HG nr.381/ 13.04.06)</t>
  </si>
  <si>
    <t>Supliment p/u pregătirea unor sportivi de performanță și desfășurarea cu maximă eficiență a procesului de instruire și antrenament (pct.6, alin.2 şi pct.4 din note la tab.4, din anexa nr.5 la HG nr.381/ 13.04.2006)</t>
  </si>
  <si>
    <t xml:space="preserve">38 = 12 + 14 + 16 +  18 + 20 + 22 + 23 + 25 + 27 + 29 + 31 + 32 + 33 + 35 + 37 </t>
  </si>
  <si>
    <t>40 = 38 - 39</t>
  </si>
  <si>
    <t>42 = 12</t>
  </si>
  <si>
    <t>43 = (42 +39)/ 12 luni</t>
  </si>
  <si>
    <t>Spor 20% p/u înaltă competență profesională și intensitatea muncii, (pct.3 din anexa nr.6 la HG nr.381/13.04.06) lei</t>
  </si>
  <si>
    <t>26 = (25 +22)/ 12 luni</t>
  </si>
  <si>
    <t>Spor p/u înaltă competență profesională, intensitate a muncii și îndeplinire a unor sarcini de importanță majoră, pînă la 50% din salariul de funcție, ținînd cont de sporul p/u vechime în muncă (pct.2, alin.2, din anexa nr.12 la HG nr.381/ 13.04.06), lei</t>
  </si>
  <si>
    <t>12 = (6 + 8) * 50%</t>
  </si>
  <si>
    <t>Impactul premiului annual şi a premiilor trimestriale asupra mărimii indemnizației de concediu</t>
  </si>
  <si>
    <t>20 = (19+16) / 12 luni</t>
  </si>
  <si>
    <t>Majorare a salariului de un funcție p/u conducători pct.1 alin.5 din note la tabelul la anexa nr.13 la HG nr.381/13.04.06</t>
  </si>
  <si>
    <t>24 =( 23+20) / 12 luni</t>
  </si>
  <si>
    <t>Coeficientul complexității (anexa nr.9  la HG nr.381/ 13.04.06)</t>
  </si>
  <si>
    <t>Impactul premiului anual şi a fondului p/u acordarea premiilor  asupra mărimii indemnizației de concediu</t>
  </si>
  <si>
    <t>23 = (22 +19)/ 12 luni</t>
  </si>
  <si>
    <t>Coeficientul complexității (pct.1, 3 și 4 din note la tabel la anexa nr.10 la HG nr.381/ 13.04.06)</t>
  </si>
  <si>
    <t>24 = (23+20) / 12 luni</t>
  </si>
  <si>
    <t>20 = 9 * 19 / 100%</t>
  </si>
  <si>
    <t>32=(14+16)*50%</t>
  </si>
  <si>
    <t xml:space="preserve"> p/u conducătorii şi personalul de specialitate din serviciile sociale (pct.4  din note la tab.nr.4 la anexa nr.3 la HG nr.381/ 13.04.06</t>
  </si>
  <si>
    <t>p/u personal specificat în pct.8, lit.e), lit.f), lit.h) și lit.i) din anexa nr.3  la HG nr.381/ 13.04.06</t>
  </si>
  <si>
    <t>33 = (14 + 16) *30%</t>
  </si>
  <si>
    <t>47=14+16+18+20+22 +24+26+27+29+31+32+33+34+36+38+39+40 +41+42+44+46</t>
  </si>
  <si>
    <t>Impactul premiului anual şi a fondului p/u acordarea premiilor asupra mărimii indemnizației de concediu, lei</t>
  </si>
  <si>
    <t>nr. de puncte</t>
  </si>
  <si>
    <t>Impactul premiului anual şi a fondului pentru acordarea premiilor asupra mărimii indemnizației de concediu, lei</t>
  </si>
  <si>
    <t>(telefon de contact)</t>
  </si>
  <si>
    <t>Salariul de funcție p/u o oră</t>
  </si>
  <si>
    <t>inclusiv ajutorul material, care nu se supune calculării contribuțiilor de asigurări sociale de stat obligatorii**</t>
  </si>
  <si>
    <t>Instituţia bugetară (Org 2)</t>
  </si>
  <si>
    <t>________________________________________________________</t>
  </si>
  <si>
    <t>Org2</t>
  </si>
  <si>
    <t>Org1</t>
  </si>
  <si>
    <t>F1-F3</t>
  </si>
  <si>
    <t>P1-P2</t>
  </si>
  <si>
    <t>P3</t>
  </si>
  <si>
    <t>(denumirea)</t>
  </si>
  <si>
    <t>Alte condiții de salarizare* specificate în HG nr.381/ 13.04.06</t>
  </si>
  <si>
    <t>inclusiv ajutorul material, care nu se supune calculării contribuțiilor de asigurări sociale de stat obligatorii**, lei</t>
  </si>
  <si>
    <r>
      <t>inclusiv ajutorul material,</t>
    </r>
    <r>
      <rPr>
        <sz val="9"/>
        <color theme="1"/>
        <rFont val="Cambria"/>
        <family val="1"/>
        <charset val="204"/>
        <scheme val="major"/>
      </rPr>
      <t xml:space="preserve"> care nu se supune calculării contribuțiilor de asigurări sociale de stat obligatorii**</t>
    </r>
  </si>
  <si>
    <t>a) funcţionari, slujbaşi, specialişti de profil (ps)</t>
  </si>
  <si>
    <t>………..</t>
  </si>
  <si>
    <t>b) muncitori (pa)</t>
  </si>
  <si>
    <t xml:space="preserve">d) pedagog social, psihopedagog și alte cadre didactice în cămine, internate și instituții de asistență socială, părinte-educator </t>
  </si>
  <si>
    <t>…………..</t>
  </si>
  <si>
    <t>50 = (43 * 12 luni + 44 + 45+ 47 + 48+49) / 1000 lei</t>
  </si>
  <si>
    <t>51 = (50 - 46 / 1000 lei) * 23%</t>
  </si>
  <si>
    <t>53 = 50 + 51 + 52</t>
  </si>
  <si>
    <t>Indemnizatia de conducere (pct.4 din Condiții unice aprobate prin HG nr.381/ 13.04.06, tab.2 la anexa nr.1 la HG nr.381/ 13.04.06)</t>
  </si>
  <si>
    <t>Spor p/u grad științific sau titlu științifico-didactic (pct.7 din Condiții unice aprobate prin HG nr.381/ 13.04.06, pct.5 din tab.nr.6 la anexa nr.1 la HG nr.381/ 13.04.06)</t>
  </si>
  <si>
    <t>Grad didactic (pct.6 din anexa nr.1 și pct.2 din note la tab.nr.1 la anexa nr.5 la HG nr.381/ 13.04.06) / grad de calificare p/u maiștri de instruire de producție (pct.4 din note la tab. nr.1 la anexa nr.1 la HG nr.381/ 13.04.06)</t>
  </si>
  <si>
    <t>Suplimente p/u prestarea muncii suplimentare (tab.6 la anexa nr.1 la HG nr.381/ 13.04.06)</t>
  </si>
  <si>
    <t>Premie lunară p/u personalul pedagogic din Serviciile de asistență psihopedagogică (pct.8 din anexa nr.1 la HG nr.381 din 13.04.06)</t>
  </si>
  <si>
    <t>Ajutor material (HG nr.381 din 13.04.06: pct.7 și 8 din anexa nr.1, pct.2 din note la tab.nr.3 la anexa nr.1, pct.1 din note la tab.nr.4 la anexa nr.1), lei</t>
  </si>
  <si>
    <t>Cheltuieli de personal total,                              mii lei</t>
  </si>
  <si>
    <t>p/u dirigenție (pct.1), lei</t>
  </si>
  <si>
    <t>p/u controlul lucrărilor scrise (pct.2), lei</t>
  </si>
  <si>
    <t>p/u administrarea cabinetului (pct.4), lei</t>
  </si>
  <si>
    <t>p/u conducerea comisiilor de obiect, catedrelor de ciclu, p/u lucru metodic (pct.7), lei</t>
  </si>
  <si>
    <t>p/u deservirea tehnicii de calcul (pct.8)</t>
  </si>
  <si>
    <t>din contul mijloacelor speciale p/u munca de producție pînă la 30% din salariul de funcție (pct.9)</t>
  </si>
  <si>
    <t>p/u administrarea loturilor experimentale (pct.10), lei</t>
  </si>
  <si>
    <t>p/u profesori de instruire prin muncă care exercită funcții de maistru (pct.11), lei</t>
  </si>
  <si>
    <t>p/u administrarea secției, filialelor (pct.12, 13, 14, 16), lei</t>
  </si>
  <si>
    <t>10% p/u președintele consiliului directorilor de colegii și licee (pct.15), lei</t>
  </si>
  <si>
    <r>
      <t xml:space="preserve">Fondul p/u acordarea premiilor, care se estimează concomitent cu ajutorul material cnf pct.7 din anexa nr.1 la HG nr.381 din 13.04.06 </t>
    </r>
    <r>
      <rPr>
        <i/>
        <sz val="10"/>
        <color theme="1"/>
        <rFont val="Cambria"/>
        <family val="1"/>
        <charset val="204"/>
        <scheme val="major"/>
      </rPr>
      <t xml:space="preserve">(se indică necesarul pe an), </t>
    </r>
    <r>
      <rPr>
        <sz val="10"/>
        <color theme="1"/>
        <rFont val="Cambria"/>
        <family val="1"/>
        <charset val="204"/>
        <scheme val="major"/>
      </rPr>
      <t>lei</t>
    </r>
  </si>
  <si>
    <r>
      <t>p/u condiții speciale (pct.6) / p/u personalul din instituţiile de învăţământ preuniversitar din partea stîngă a Nistrului şi mun. Bender (pct.6</t>
    </r>
    <r>
      <rPr>
        <sz val="10"/>
        <color theme="1"/>
        <rFont val="Cambria"/>
        <family val="1"/>
        <charset val="204"/>
      </rPr>
      <t>¹</t>
    </r>
    <r>
      <rPr>
        <sz val="10"/>
        <color theme="1"/>
        <rFont val="Cambria"/>
        <family val="1"/>
        <charset val="204"/>
        <scheme val="major"/>
      </rPr>
      <t>), lei</t>
    </r>
  </si>
  <si>
    <r>
      <t>Plăţi cu caracter stimulator*** (pct.17 din Condiții unice aprobate prin  HG nr.381/ 13.04.06)</t>
    </r>
    <r>
      <rPr>
        <i/>
        <sz val="10"/>
        <color theme="1"/>
        <rFont val="Cambria"/>
        <family val="1"/>
        <charset val="204"/>
        <scheme val="major"/>
      </rPr>
      <t>(se indică necesarul pe an)</t>
    </r>
    <r>
      <rPr>
        <sz val="10"/>
        <color theme="1"/>
        <rFont val="Cambria"/>
        <family val="1"/>
        <charset val="204"/>
        <scheme val="major"/>
      </rPr>
      <t>, lei</t>
    </r>
  </si>
  <si>
    <t>Categoria de calificare p/u personalul medical (pct.4 din anexa nr.3 la HG 381/ 13.04.06) și bibliotecari (pct.6 din anexa nr.4 la HG 381/ 13.04.06)</t>
  </si>
  <si>
    <t>Spor p/u înaltă eficiență în muncă, intensitatea muncii, precum și executarea unor lucrări de importanță deosebită sau de urgență, lei</t>
  </si>
  <si>
    <t xml:space="preserve">Retribuția suplimentară p/u educatori, ajutori de educatori și dădace-infirmiere p/u depășirea normelor de frecventare (pct.2 din note la tab. nr.4 la anexa nr.1 la HG nr.381 / 13.04.06)  </t>
  </si>
  <si>
    <t>Spor 10% ajutorului de educator p/u exercitarea nemijlocită a funcțiilor educative 10% (pct.3 din note la tab.nr.4 la anexa nr.1 la HG nr.381/ 13.04.06), lei</t>
  </si>
  <si>
    <t>Spor 20% şefilor de biblioteci (pct.2 din note la tab.nr.2 la anexa nr.4 la HG nr.381/ 13.04.06), lei</t>
  </si>
  <si>
    <t>Spor 10% p/u absolvenții din învățămîntul superior, încadrați în biblioteci (pct.2 din note la tab. nr.4 la anexa nr.4 la HG nr.381 / 13.04.06), lei</t>
  </si>
  <si>
    <t>Spor 20% p/u personalul bibliotecilor  (pct.3 din note la tab. nr.4 la anexa nr.4 la HG nr.381 / 13.04.06), lei</t>
  </si>
  <si>
    <t>Plată suplimentară p/u deservirea Schemei de închiriere a manualelor, (pct.4 din note la tab. nr.4 la anexa nr.4 la HG nr.381 / 13.04.06), lei</t>
  </si>
  <si>
    <t>Supliment 10% din salariul de bază șefilor de cămine p/u desfășurarea lucrului educativ cu locatari (pct.7 din note la tabel la anexa nr.8 la HG nr.381/ 13.04.06), lei</t>
  </si>
  <si>
    <t>Premie lunară p/u personalul din Serviciile de asistență psihopedagogică (pct.8 din anexa nr.1 la HG nr.381 din 13.04.06), p/u personalul din centrele și cabinetele metodice pe lîngă AP (pct.2 din note la tab. nr.3 la anexa nr.1 la HG nr.381/  13.04.06), p/u unele categorii de personal administrativ și gospodăresc (pct.1 din note la tab.nr.4 la anexa nr.1 la HG nr.381/ 13.04.06), lei</t>
  </si>
  <si>
    <t xml:space="preserve">30% p/u unii specialiști fără statut de cadru didactic din Serviciile de asistență psihopedagogică (pct.8 din anexa nr.1 la HG nr.381/  13.04.06),p/u conducătorii şi personalul de specialitate din serviciile sociale (pct.4 din note la tab. nr.4 la anexa nr.3), p/u personalul din centrele și cabinetele metodice și metodiști din instituțiile de perfecționare a cadrelor didactice (pct.1 din note la tab. nr.3 la anexa nr.1 la HG nr.381/  13.04.06)  </t>
  </si>
  <si>
    <t>50% p/u unele categorii de personal administrativ și gospodăresc (pct.1 din note la tab.nr.4 la anexa nr.1 la HG nr.381/ 13.04.06)</t>
  </si>
  <si>
    <t xml:space="preserve">30% p/u personal medical din instituţiile de învăţământ preuniversitar (pct.4 din note la tab. nr.4 la anexa nr.1 la HG nr.381/  13.04.06) </t>
  </si>
  <si>
    <t>20% p/u alte categorii de personal (pct.10 din Condiții unice aprobate prin HG nr.381/ 13.04.06 şi pct.5 din note la tab. nr.4 la anexa nr.1 la HG nr.381/  13.04.06)</t>
  </si>
  <si>
    <t>Spor p/u grad științific sau titlu științifico-didactic (pct.7 din Condiții unice aprobate prin HG nr.381/ 13.04.2006, pct.4 din note la tab.nr.1 la anexa nr.2 la HG nr.381/ 13.04.06)</t>
  </si>
  <si>
    <t>Plata suplimentară 10% rectorilor p/u includerea în instituție a unității de învățămînt mediu de specialitate (colegii) (pct.6 din anexa nr.2 la HG nr.381/ 13.04.06), lei</t>
  </si>
  <si>
    <t>Spor rectorilor, prim-prorectorilor p/u activitatea didactică, prorectorilor p/u activitatea științifică, curativă (de creație / sportivă) p/u efectiv de studenți / masteranți (10% / 20%), persoanelor din corpul profesoral-didactic p/u exercitarea funcțiilor de decan și prodecan (15% / 25%) și conducerea catedrelor (10% - 20%) (pct.5, 6, 7 din note la tab.nr.1 la anexa nr.2 la HG nr.381/ 13.04.06)</t>
  </si>
  <si>
    <t>Plata suplimentară persoanelor din corpul profesoral-didactic p/u suplinirea obligațiilor de șef de studii, secretar științific, inspector al secției de instruire, conducător de practica de producție (pînă la 20%) și suplinirea obligațiilor de șef de doctorat, postdoctorat, secundariat și masterat (15% / 25%) (pct. 13, 14 din note la tab.nr.1 la anexa nr.2 la HG nr.381/ 13.04.06)</t>
  </si>
  <si>
    <t>Supliment 5% din salariul lunar de bază persoanelor din corpul profesoral-didactic p/u conducerea grupelor studențești (pct.17 din note la tab.nr.1 la anexa nr.2 la HG nr.381/ 13.04.06), lei</t>
  </si>
  <si>
    <t>Ajutor material (pct.7 din anexa nr.2 la HG nr.381 din 13.04.06), lei</t>
  </si>
  <si>
    <r>
      <t xml:space="preserve">Fondul p/u acordarea premiilor, care se estimează concomitent cu ajutorul material (pct.7 din anexa nr.2 la HG nr.381 din 13.04.06) </t>
    </r>
    <r>
      <rPr>
        <i/>
        <sz val="10"/>
        <color theme="1"/>
        <rFont val="Cambria"/>
        <family val="1"/>
        <charset val="204"/>
        <scheme val="major"/>
      </rPr>
      <t xml:space="preserve">(se indică necesarul pe an), </t>
    </r>
    <r>
      <rPr>
        <sz val="10"/>
        <color theme="1"/>
        <rFont val="Cambria"/>
        <family val="1"/>
        <charset val="204"/>
        <scheme val="major"/>
      </rPr>
      <t>lei</t>
    </r>
  </si>
  <si>
    <t>32 =( 25 * 12 luni + 26 + 27 + 29 + 30+30) / 1000 lei</t>
  </si>
  <si>
    <t>33 = (32 - 28 / 1000 lei) * 23%</t>
  </si>
  <si>
    <t>35 = 32 + 33 + 34</t>
  </si>
  <si>
    <t>54 = (47 * 12 luni + 48+49+51+52+53) / 1000 lei</t>
  </si>
  <si>
    <t>57=54+55+56</t>
  </si>
  <si>
    <r>
      <t xml:space="preserve">Plăţi cu caracter stimulator ****(pct.17 din Condiții unice aprobate prin  HG nr.381/ 13.04.06) </t>
    </r>
    <r>
      <rPr>
        <i/>
        <sz val="10"/>
        <color theme="1"/>
        <rFont val="Cambria"/>
        <family val="1"/>
        <charset val="204"/>
        <scheme val="major"/>
      </rPr>
      <t>(se indică necesarul pe an)</t>
    </r>
    <r>
      <rPr>
        <sz val="10"/>
        <color theme="1"/>
        <rFont val="Cambria"/>
        <family val="1"/>
        <charset val="204"/>
        <scheme val="major"/>
      </rPr>
      <t>, lei</t>
    </r>
  </si>
  <si>
    <t>37 = (29 * 12 luni + 30 + 32 +34 + 35+36) / 1000 lei</t>
  </si>
  <si>
    <t>38= (37 - 33 / 1000 lei) * 23%</t>
  </si>
  <si>
    <t>40 = 37 + 38 + 39</t>
  </si>
  <si>
    <t>45 = (38 * 12 luni + 39+ 40 + 42 + 43+44) / 1000 lei</t>
  </si>
  <si>
    <r>
      <t>Plăţi cu caracter stimulator ****(pct.17 din Condiții unice aprobate prin  HG nr.381/ 13.04.06)</t>
    </r>
    <r>
      <rPr>
        <i/>
        <sz val="10"/>
        <color theme="1"/>
        <rFont val="Cambria"/>
        <family val="1"/>
        <charset val="204"/>
        <scheme val="major"/>
      </rPr>
      <t xml:space="preserve"> (se indică necesarul pe an)</t>
    </r>
    <r>
      <rPr>
        <sz val="10"/>
        <color theme="1"/>
        <rFont val="Cambria"/>
        <family val="1"/>
        <charset val="204"/>
        <scheme val="major"/>
      </rPr>
      <t>, lei</t>
    </r>
  </si>
  <si>
    <t>46 = (45 - 41 / 1000 lei) * 23%</t>
  </si>
  <si>
    <t>48 = 45+ 46 + 47</t>
  </si>
  <si>
    <t>28= (21 * 12 luni + 22 + 23 + 25 + 26+27) / 1000 lei</t>
  </si>
  <si>
    <t>29 = (28 - 24 / 1000 lei) * 23%</t>
  </si>
  <si>
    <t>31 = 28 + 29 + 30</t>
  </si>
  <si>
    <t>28 =( 22 * 12 luni + 23 + 25 + 26+27) / 1000 lei</t>
  </si>
  <si>
    <t>22 = (15 * 12 luni + 16 + 17 + 19 + 20+21) / 1000 lei</t>
  </si>
  <si>
    <t>23 = (22 - 18 / 1000 lei) * 23%</t>
  </si>
  <si>
    <t>25 = 22 + 23+ 24</t>
  </si>
  <si>
    <t>26 = (19 * 12 luni + 20 + 21 + 23 + 24+25) / 1000 lei</t>
  </si>
  <si>
    <t>29 = 26 + 27 + 28</t>
  </si>
  <si>
    <t>25 = (18 * 12 luni + 19 + 20 + 22 + 23+24) / 1000 lei</t>
  </si>
  <si>
    <t>26 = (25 - 21 / 1000 lei) * 23%</t>
  </si>
  <si>
    <t>Salariu de funcție cnf categoriei de salarizare****, lei</t>
  </si>
  <si>
    <r>
      <t>Salariu de bază/ funcție</t>
    </r>
    <r>
      <rPr>
        <sz val="10"/>
        <color theme="1"/>
        <rFont val="Cambria"/>
        <family val="1"/>
        <charset val="204"/>
        <scheme val="major"/>
      </rPr>
      <t xml:space="preserve"> cnf categoriei de salarizare, lei</t>
    </r>
  </si>
  <si>
    <t>27 = 25 * 4,5%</t>
  </si>
  <si>
    <t>Calculul fondului anual de salarizare p/u personalul direcțiilor clădirilor administrative (de serviciu), precum și a celui care deservește instanțele judecătorești, organele procuraturii și oficiile notariale de stat pentru anul 2019</t>
  </si>
  <si>
    <t>Exemplu</t>
  </si>
  <si>
    <t>x</t>
  </si>
  <si>
    <t xml:space="preserve">Alte plati indicate la col.16 și 17: </t>
  </si>
  <si>
    <t>Baza legala ptr platile stabilite la col.16 și 17:</t>
  </si>
  <si>
    <t>1. *Sub tabel se specifică sporurile şi suplimentele, sau alte plăţi, indicate în coloanele 16  și 17, și  se indică pct. din HG 381/ 13.04.06, prin care este stabilită plata respectivă pentru fiecare titlu de funcţie/persoană în parte.</t>
  </si>
  <si>
    <t>3.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</si>
  <si>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3. ***Coloana respectivă se va completa doar de instituţiile care, conform Regulamentelor interne ale instituţiilor cu privire la achitarea plăţilor la salariu cu cacarter stimulator, au dreptul să repartizeze o parte din resursele colectate la retribuirea muncii. Atenţionăm că, mărimea acestor plăţi nu pote depăşi salariul de funcţie+sporul pentru vechime în muncă.</t>
  </si>
  <si>
    <t>Calculul fondului anual de salarizare p/u personalul serviciului pază  pentru anul 2019</t>
  </si>
  <si>
    <r>
      <t xml:space="preserve">Plăţi cu caracter stimulator ***(pct.17 din Condiții unice aprobate prin  HG nr.381/ 13.04.06) </t>
    </r>
    <r>
      <rPr>
        <i/>
        <sz val="10"/>
        <color theme="1"/>
        <rFont val="Cambria"/>
        <family val="1"/>
        <charset val="204"/>
        <scheme val="major"/>
      </rPr>
      <t>(se indică necesarul pe an)</t>
    </r>
    <r>
      <rPr>
        <sz val="10"/>
        <color theme="1"/>
        <rFont val="Cambria"/>
        <family val="1"/>
        <charset val="204"/>
        <scheme val="major"/>
      </rPr>
      <t>, lei</t>
    </r>
  </si>
  <si>
    <t>28 = 26  * 4,5%</t>
  </si>
  <si>
    <t xml:space="preserve">Alte plati indicate la col.13 și 14: </t>
  </si>
  <si>
    <t>Baza legala ptr platile stabilite la col.13 și 14:</t>
  </si>
  <si>
    <t>1. *Sub tabel se specifică sporurile şi suplimentele, sau alte plăţi, indicate în coloanele 17 și 18, și  se indică pct. din HG 381/ 13.04.06, prin care este stabilită plata respectivă pentru fiecare titlu de funcţie/persoană în parte.</t>
  </si>
  <si>
    <t>2.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</si>
  <si>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Nota:</t>
  </si>
  <si>
    <t xml:space="preserve">Alte plati indicate la col.17 și 18: </t>
  </si>
  <si>
    <t>Baza legala ptr platile stabilite la col.17 și 18:</t>
  </si>
  <si>
    <t>8 = 6 +7</t>
  </si>
  <si>
    <t>27 =(26- 22/1000) * 23%</t>
  </si>
  <si>
    <t>b) cadre didactice</t>
  </si>
  <si>
    <t>1</t>
  </si>
  <si>
    <t>2.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din15.12.2017).</t>
  </si>
  <si>
    <t>24 = 22 * 4,5%</t>
  </si>
  <si>
    <t>1. *Sub tabel se specifică sporurile şi suplimentele, sau alte plăţi, indicate în coloanele 13 și 14, și  se indică pct. din HG 381/ 13.04.06, prin care este stabilită plata respectivă pentru fiecare titlu de funcţie/persoană în parte.</t>
  </si>
  <si>
    <r>
      <t>Calculul fondului anual de salarizare p/u cadre didactice și personalul de specialitate din școlile sportive și alte instituții din domeniul sportului pentru anul 2019,</t>
    </r>
    <r>
      <rPr>
        <sz val="12"/>
        <color theme="1"/>
        <rFont val="Cambria"/>
        <family val="1"/>
        <scheme val="major"/>
      </rPr>
      <t xml:space="preserve"> cu excepția muncitorilor care se reflectă în tabelul nr.9</t>
    </r>
  </si>
  <si>
    <t xml:space="preserve">Spor 10% p/u antrenori care activează în școlile sportive specializate și cu grupe de maiestrie sportivă în școlile sportive (pct.8 din note la tab. nr.1 la anexa nr.5 la HG nr.381 / 13.04.06), lei  </t>
  </si>
  <si>
    <t>p/u un post / o unitate*</t>
  </si>
  <si>
    <t>33=12*10%</t>
  </si>
  <si>
    <t>47 = 45* 4,5%</t>
  </si>
  <si>
    <t>a) cadre didactice</t>
  </si>
  <si>
    <t>Exemplu: antrenor</t>
  </si>
  <si>
    <t>superioare</t>
  </si>
  <si>
    <t>b) funcţionari, slujbaşi, specialişti de profil (ps)</t>
  </si>
  <si>
    <t xml:space="preserve">Alte plati indicate la col.36 și 37: </t>
  </si>
  <si>
    <t>Baza legala ptr platile stabilite la col.36 și 37:</t>
  </si>
  <si>
    <t>1. *Salariul de funcție a cadrelor didactice se majorează cu 8% începînd cu 1 septembrie 2018.</t>
  </si>
  <si>
    <t>2. **Sub tabel se specifică sporurile şi suplimentele, sau alte plăţi, indicate în coloanele 36 și 37, și  se indică pct. din HG 381/ 13.04.06, prin care este stabilită plata respectivă pentru fiecare titlu de funcţie/persoană în parte.</t>
  </si>
  <si>
    <t>3.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nr.281 din 15.12.2017).</t>
  </si>
  <si>
    <t>4. ****Coloana respectivă se va completa doar de instituţiile care, conform Regulamentelor interne ale instituţiilor cu privire la achitarea plăţilor la salariu cu cacarter stimulator, au dreptul să repartizeze o parte din resursele colectate la retribuirea muncii. Atenţionăm că, mărimea acestor plăţi nu pote depăşi salariul de funcţie+sporul pentru vechime în muncă.</t>
  </si>
  <si>
    <t>Calculul fondului anual de salarizare p/u personalul de profil și de specialitate din instituțiile de cultură și artă pentru anul 2019</t>
  </si>
  <si>
    <t>39 = 37 * 4,5%</t>
  </si>
  <si>
    <t>doctor</t>
  </si>
  <si>
    <t>om emerit</t>
  </si>
  <si>
    <t xml:space="preserve">Alte plati indicate la col.27 și 28: </t>
  </si>
  <si>
    <t>Baza legala ptr platile stabilite la col.27 și 28:</t>
  </si>
  <si>
    <t>1. *Sub tabel se specifică sporurile şi suplimentele, sau alte plăţi, indicate în coloanele 27 și 28, și  se indică pct. din HG 381/ 13.04.06, prin care este stabilită plata respectivă pentru fiecare titlu de funcţie/persoană în parte.</t>
  </si>
  <si>
    <t>Calculul fondului anual de salarizare p/u personalul de profil și de specialitate din instituțiile medico-sanitare și de asistență socială pentru anul 2019</t>
  </si>
  <si>
    <r>
      <t xml:space="preserve">Premiu anual  </t>
    </r>
    <r>
      <rPr>
        <sz val="10"/>
        <color theme="1"/>
        <rFont val="Cambria"/>
        <family val="1"/>
        <charset val="204"/>
        <scheme val="major"/>
      </rPr>
      <t xml:space="preserve">     (HG nr.180/ 11.03.13), lei</t>
    </r>
  </si>
  <si>
    <t>55 = (54-50 / 1000 lei) * 23%</t>
  </si>
  <si>
    <t>56 = 54 * 4,5%</t>
  </si>
  <si>
    <t xml:space="preserve">Alte plati indicate la col.43 și 44: </t>
  </si>
  <si>
    <t>Baza legala ptr platile stabilite la col.43 și 44:</t>
  </si>
  <si>
    <t>2. **Sub tabel se specifică sporurile şi suplimentele, sau alte plăţi, indicate în coloanele 43 și 44, și  se indică pct. din HG 381/ 13.04.06, prin care este stabilită plata respectivă pentru fiecare titlu de funcţie/persoană în parte.</t>
  </si>
  <si>
    <t>Alte condiții de salarizare**  specificate în HG nr.381/ 13.04.06</t>
  </si>
  <si>
    <t>inclusiv ajutorul material, care nu se supune calculării contribuțiilor de asigurări sociale de stat obligatorii***</t>
  </si>
  <si>
    <t>Supliment p/u activitate în orele de noapte****</t>
  </si>
  <si>
    <r>
      <t xml:space="preserve">Plăţi cu caracter stimulator *****(pct.17 din Condiții unice aprobate prin  HG nr.381/ 13.04.06) </t>
    </r>
    <r>
      <rPr>
        <i/>
        <sz val="10"/>
        <color theme="1"/>
        <rFont val="Cambria"/>
        <family val="1"/>
        <charset val="204"/>
        <scheme val="major"/>
      </rPr>
      <t>(se indică necesarul pe an)</t>
    </r>
    <r>
      <rPr>
        <sz val="10"/>
        <color theme="1"/>
        <rFont val="Cambria"/>
        <family val="1"/>
        <charset val="204"/>
        <scheme val="major"/>
      </rPr>
      <t>, lei</t>
    </r>
  </si>
  <si>
    <t>5. *****Coloana respectivă se va completa doar de instituţiile care, conform Regulamentelor interne ale instituţiilor cu privire la achitarea plăţilor la salariu cu cacarter stimulator, au dreptul să repartizeze o parte din resursele colectate la retribuirea muncii. Atenţionăm că, mărimea acestor plăţi nu pote depăşi salariul de funcţie+sporul pentru vechime în muncă.</t>
  </si>
  <si>
    <t>4.****La calcularea sporului / suplimentului din col.36, 38 si 39 se va indica sub tabel numărul de ore lunare pentru un program complet de lucru stabilit pentru personalul respectiv şi norma legală prin care este stabilită aceasta.</t>
  </si>
  <si>
    <t xml:space="preserve">Explicatii  la col.36,38 și 39, nr. de ore: </t>
  </si>
  <si>
    <t>Norma legala privind num. de ore lunare ptr care se stabilesc sporurile/suplimentele la col.36,38 și 39:</t>
  </si>
  <si>
    <t>Spor p/u mobilizarea la domiciliu (pct.9 din anexa nr.3 la HG nr.381/ 13.04.06)****</t>
  </si>
  <si>
    <r>
      <t>Alte condiții de salarizare</t>
    </r>
    <r>
      <rPr>
        <sz val="10"/>
        <color rgb="FFFF0000"/>
        <rFont val="Cambria"/>
        <family val="1"/>
        <scheme val="major"/>
      </rPr>
      <t xml:space="preserve">** </t>
    </r>
    <r>
      <rPr>
        <sz val="10"/>
        <color theme="1"/>
        <rFont val="Cambria"/>
        <family val="1"/>
        <charset val="204"/>
        <scheme val="major"/>
      </rPr>
      <t>specificate în HG nr.381/ 13.04.06</t>
    </r>
  </si>
  <si>
    <r>
      <t>Plăţi cu caracter stimulator**** (pct.17 din Condiții unice aprobate prin  HG nr.381/ 13.04.06)</t>
    </r>
    <r>
      <rPr>
        <i/>
        <sz val="10"/>
        <color theme="1"/>
        <rFont val="Cambria"/>
        <family val="1"/>
        <charset val="204"/>
        <scheme val="major"/>
      </rPr>
      <t>(se indică necesarul pe an)</t>
    </r>
    <r>
      <rPr>
        <sz val="10"/>
        <color theme="1"/>
        <rFont val="Cambria"/>
        <family val="1"/>
        <charset val="204"/>
        <scheme val="major"/>
      </rPr>
      <t>, lei</t>
    </r>
  </si>
  <si>
    <t>p/u un post*</t>
  </si>
  <si>
    <t>34 = 32 * 4,5%</t>
  </si>
  <si>
    <t>a)</t>
  </si>
  <si>
    <t>doctor habilitat</t>
  </si>
  <si>
    <t xml:space="preserve">Alte plati indicate la col.23 și 24: </t>
  </si>
  <si>
    <t>Baza legala ptr platile stabilite la col.23 și 24:</t>
  </si>
  <si>
    <t>2. **Sub tabel se specifică sporurile şi suplimentele, sau alte plăţi, indicate în coloanele 23 și 24, și  se indică pct. din HG 381/ 13.04.06, prin care este stabilită plata respectivă pentru fiecare titlu de funcţie/persoană în parte.</t>
  </si>
  <si>
    <t>Salariu tarifar / de funcție cnf categoriei de salarizare, lei</t>
  </si>
  <si>
    <r>
      <t>Alte condiții de salarizare</t>
    </r>
    <r>
      <rPr>
        <sz val="10"/>
        <color rgb="FFFF0000"/>
        <rFont val="Cambria"/>
        <family val="1"/>
        <scheme val="major"/>
      </rPr>
      <t>*</t>
    </r>
    <r>
      <rPr>
        <sz val="10"/>
        <color theme="1"/>
        <rFont val="Cambria"/>
        <family val="1"/>
        <charset val="204"/>
        <scheme val="major"/>
      </rPr>
      <t xml:space="preserve"> specificate în HG nr.381/ 13.04.06</t>
    </r>
  </si>
  <si>
    <t>30 = 28  * 4,5%</t>
  </si>
  <si>
    <t xml:space="preserve">Alte plati indicate la col.20 și 21: </t>
  </si>
  <si>
    <t>Baza legala ptr platile stabilite la col.20 și 21:</t>
  </si>
  <si>
    <t>1. *Sub tabel se specifică sporurile şi suplimentele, sau alte plăţi, indicate în coloanele 20 și 21, și  se indică pct. din HG 381/ 13.04.06, prin care este stabilită plata respectivă pentru fiecare titlu de funcţie/persoană în parte.</t>
  </si>
  <si>
    <t>3. ***Coloana respectivă se va completa doar de instituţiile care, conform Regulamentelor interne ale instituţiilor cu privire la achitarea plăţilor la salariu cu caracter stimulator, au dreptul să repartizeze o parte din resursele colectate la retribuirea muncii. Atenţionăm că, mărimea acestor plăţi nu pote depăşi salariul de funcţie+sporul pentru vechime în muncă.</t>
  </si>
  <si>
    <t>Calculul fondului anual de salarizare p/u personalul cu funcții complexe (de conducere, de specialitate și de execuție), precum și muncitori, din instituțiile și organizațiile bugetare pentru anul 2019</t>
  </si>
  <si>
    <t>Total salariul de bază/ tarifar, lei</t>
  </si>
  <si>
    <t>Supliment p/u orele prestate în timp de noapte (pct.12 din Condiții unice aprobate prin HG nr.381/ 13.04.06)</t>
  </si>
  <si>
    <r>
      <t xml:space="preserve">                         Spor la salariul de functie in cuantum de 100 lei (pct.8</t>
    </r>
    <r>
      <rPr>
        <vertAlign val="superscript"/>
        <sz val="10"/>
        <color theme="1"/>
        <rFont val="Cambria"/>
        <family val="1"/>
        <scheme val="major"/>
      </rPr>
      <t>1</t>
    </r>
    <r>
      <rPr>
        <sz val="10"/>
        <color theme="1"/>
        <rFont val="Cambria"/>
        <family val="1"/>
        <charset val="204"/>
        <scheme val="major"/>
      </rPr>
      <t xml:space="preserve"> din Condiții unice aprobate prin HG nr.381/ 13.04.06)</t>
    </r>
  </si>
  <si>
    <t>31 = 8 * 30 / 100%</t>
  </si>
  <si>
    <t>33 = 8 * 32 / 100%</t>
  </si>
  <si>
    <t>35=8/169 ore*34*50%</t>
  </si>
  <si>
    <t>39=8+10+12+14+16+18+19+20+21+23+25+27+ 28+ 29+31+33+35+36+38</t>
  </si>
  <si>
    <t>41 =39 - 40</t>
  </si>
  <si>
    <t>43 = 8</t>
  </si>
  <si>
    <t>44 = (40+43) / 12 luni</t>
  </si>
  <si>
    <t>46 = (39 * 12 luni +40 + 41 + 43+ 44+45) / 1000 lei</t>
  </si>
  <si>
    <t>47 = (46 - 42 / 1000 lei) * 23%</t>
  </si>
  <si>
    <t>48 = 41  * 4,5%</t>
  </si>
  <si>
    <t>49 = 46 + 47 + 48</t>
  </si>
  <si>
    <t xml:space="preserve">Alte plati indicate la col.37 și 38: </t>
  </si>
  <si>
    <t>Baza legala ptr platile stabilite la col.37 și 38:</t>
  </si>
  <si>
    <t>1. *Sub tabel se specifică sporurile şi suplimentele, sau alte plăţi, indicate în coloanele 37 și 38, și  se indică pct. din HG 381/ 13.04.06, prin care este stabilită plata respectivă pentru fiecare titlu de funcţie/persoană în parte.</t>
  </si>
  <si>
    <t>3. ***Coloana respectivă se va completa doar de instituţiile care, conform Regulamentelor interne ale instituţiilor cu privire la achitarea plăţilor la salariu cu caracter stimulator, au dreptul să repartizeze o parte din resursele colectate la retribuirea muncii. Se atenționează că, mărimea acestor plăţi nu pote depăşi salariul de funcţie+sporul pentru vechime în muncă.</t>
  </si>
  <si>
    <t>Calculul fondului anual de salarizare p/u personalul mijloacelor de informare în masă finanțate de la buget pentru anul 2019</t>
  </si>
  <si>
    <t>Salariu de funcție / tarifar cnf categoriei de salarizare, lei</t>
  </si>
  <si>
    <r>
      <t>Alte condiții de salarizare</t>
    </r>
    <r>
      <rPr>
        <sz val="10"/>
        <color rgb="FFFF0000"/>
        <rFont val="Cambria"/>
        <family val="1"/>
        <scheme val="major"/>
      </rPr>
      <t xml:space="preserve">* </t>
    </r>
    <r>
      <rPr>
        <sz val="10"/>
        <color theme="1"/>
        <rFont val="Cambria"/>
        <family val="1"/>
        <charset val="204"/>
        <scheme val="major"/>
      </rPr>
      <t>specificate în HG nr.381/ 13.04.06</t>
    </r>
  </si>
  <si>
    <t>30 = 28 * 4,5%</t>
  </si>
  <si>
    <t xml:space="preserve">Alte plati indicate la col.19 și 20: </t>
  </si>
  <si>
    <t>Baza legala ptr platile stabilite la col.19 și 20:</t>
  </si>
  <si>
    <t>1. *Sub tabel se specifică sporurile şi suplimentele, sau alte plăţi, indicate în coloanele 19 și 20, și  se indică pct. din HG 381/ 13.04.06, prin care este stabilită plata respectivă pentru fiecare titlu de funcţie/persoană în parte.</t>
  </si>
  <si>
    <t>Calculul fondului anual de salarizare p/u personalul administrativ, auxiliar, gospodăresc și de deservire din instituțiile și organizațiile de învățămînt, salarizat conform Rețelei tarifare unice pentru  anul 2019</t>
  </si>
  <si>
    <t xml:space="preserve">Coeficientul complexității lucrărilor (anexa nr.9 si pct.1 din Note la anexa nr.10 la HG nr.381/ 13.04.06),  </t>
  </si>
  <si>
    <r>
      <t xml:space="preserve">                         Spor la salariul de funcție în cuantum de 100 lei (pct.8</t>
    </r>
    <r>
      <rPr>
        <vertAlign val="superscript"/>
        <sz val="10"/>
        <color theme="1"/>
        <rFont val="Cambria"/>
        <family val="1"/>
        <scheme val="major"/>
      </rPr>
      <t>1</t>
    </r>
    <r>
      <rPr>
        <sz val="10"/>
        <color theme="1"/>
        <rFont val="Cambria"/>
        <family val="1"/>
        <charset val="204"/>
        <scheme val="major"/>
      </rPr>
      <t xml:space="preserve"> din Condiții unice aprobate prin HG nr.381/ 13.04.06)</t>
    </r>
  </si>
  <si>
    <t>42=9/169 ore*41*50%</t>
  </si>
  <si>
    <t>46 = (9+11+13+15+17+18+20+21+22+23+24+26+27+28+29+30+31+32+33+ 35+37+39+40+42+43+45)*4 trimestre/12 luni</t>
  </si>
  <si>
    <t>47=9+11+13+15+17+18+20+21+22+23+24+26+ 27+28+29+30+ 31+32+33+35+37+39+40+42+43+45+47</t>
  </si>
  <si>
    <t>49 = 47 - 46 - 48</t>
  </si>
  <si>
    <t>51= 9</t>
  </si>
  <si>
    <t>52 = (48+51) / 12 luni</t>
  </si>
  <si>
    <t>54 = (47 * 12 luni + 48 + 49 + 51+ 52+53) / 1000 lei</t>
  </si>
  <si>
    <t>55 = (54 - 50 / 1000 lei) * 23%</t>
  </si>
  <si>
    <t>57 = 54+55+ 56</t>
  </si>
  <si>
    <t>medii</t>
  </si>
  <si>
    <t xml:space="preserve">Alte plati indicate la col.44 și 45: </t>
  </si>
  <si>
    <t>Baza legala ptr platile stabilite la col.44 și 45:</t>
  </si>
  <si>
    <t>1. *Sub tabel se specifică sporurile şi suplimentele, sau alte plăţi, indicate în coloanele 44 și 45, și  se indică pct. din HG 381/ 13.04.06, prin care este stabilită plata respectivă pentru fiecare titlu de funcţie/persoană în parte.</t>
  </si>
  <si>
    <t>3. ***Coloana respectivă se va completa doar de instituţiile care, conform Regulamentelor interne ale instituţiilor cu privire la achitarea plăţilor la salariu cu caracter stimulator, au dreptul să repartizeze o parte din resursele colectate la retribuirea muncii. Se atentionează că, mărimea acestor plăţi nu pote depăşi salariul de funcţie+sporul pentru vechime în muncă.</t>
  </si>
  <si>
    <t>Indemnizația de conducere (pct.4 din Condiții unice aprobate prin HG nr.381/ 13.04.06, tab.1¹ la anexa nr.5 la HG nr.381/ 13.04.06)</t>
  </si>
  <si>
    <t>Spor p/u titlu onorific (pct.7 din anexa nr.5 la HG 381/ 13.04.06)</t>
  </si>
  <si>
    <t>Ajutor material (pct. 8 din anexa nr.5 la HG nr.381 din 13.04.06), lei</t>
  </si>
  <si>
    <t>Titlul funcției</t>
  </si>
  <si>
    <t>Disciplina de predare</t>
  </si>
  <si>
    <t>52 = 50 * 4,5%</t>
  </si>
  <si>
    <t xml:space="preserve"> a) profesor și învățător in învățămintul general și profesional tehnic, funcții didactice în educația timpurie</t>
  </si>
  <si>
    <t>Matematica</t>
  </si>
  <si>
    <t>b) functii didactice în invățămîntul general, cu exceptia celor de profesor, învățător și a funcțiilor didactice în educația timpurie</t>
  </si>
  <si>
    <t>c) funcții didactice în invățămîntul profesional tehnic, cu excepția celei de profesor</t>
  </si>
  <si>
    <t xml:space="preserve">Alte plati indicate la col.40 și 41: </t>
  </si>
  <si>
    <t>Baza legala ptr platile stabilite la col.40 și 41:</t>
  </si>
  <si>
    <t>Salariu de funcție, lei</t>
  </si>
  <si>
    <t>2. ** Sub tabel se specifică sporurile şi suplimentele, sau alte plăţi, indicate în coloanele 40 și 41 și  se indică pct. din HG 381/ 13.04.06, prin care este stabilită plata respectivă pentru fiecare titlu de funcţie/persoană în parte.</t>
  </si>
  <si>
    <r>
      <t>Plăţi cu caracter stimulator</t>
    </r>
    <r>
      <rPr>
        <sz val="10"/>
        <color rgb="FFFF0000"/>
        <rFont val="Cambria"/>
        <family val="1"/>
        <scheme val="major"/>
      </rPr>
      <t xml:space="preserve">**** </t>
    </r>
    <r>
      <rPr>
        <sz val="10"/>
        <color theme="1"/>
        <rFont val="Cambria"/>
        <family val="1"/>
        <charset val="204"/>
        <scheme val="major"/>
      </rPr>
      <t>(pct.17 din Condiții unice aprobate prin  HG nr.381/ 13.04.06)</t>
    </r>
    <r>
      <rPr>
        <i/>
        <sz val="10"/>
        <color theme="1"/>
        <rFont val="Cambria"/>
        <family val="1"/>
        <charset val="204"/>
        <scheme val="major"/>
      </rPr>
      <t>(se indică necesarul pe an)</t>
    </r>
    <r>
      <rPr>
        <sz val="10"/>
        <color theme="1"/>
        <rFont val="Cambria"/>
        <family val="1"/>
        <charset val="204"/>
        <scheme val="major"/>
      </rPr>
      <t>, lei</t>
    </r>
  </si>
  <si>
    <r>
      <t xml:space="preserve">Impactul premiului anual şi a fondului p/u acordarea premiilor asupra mărimii indemnizației de concediu </t>
    </r>
    <r>
      <rPr>
        <sz val="10"/>
        <color rgb="FFFF0000"/>
        <rFont val="Cambria"/>
        <family val="1"/>
        <scheme val="major"/>
      </rPr>
      <t>*****</t>
    </r>
  </si>
  <si>
    <t>Impactul premiului anual şi a fondului p/u adordarea premiilor asupra mărimii indemnizației de concediu *****</t>
  </si>
  <si>
    <t>Salariu de funcție cnf categoriei de salarizare / salariul de funcție p/u cadrele didactice, lei</t>
  </si>
  <si>
    <t>5. ***** Impactul premiului anual si fondului pentru acordarea premiului asupra indemnizatiei de concediu se va dubla pentru salariatii din sistemul educational care beneficiaza de 62 de zile de concediu de odihna anual, in conformitate cu Conventia colectiva</t>
  </si>
  <si>
    <t xml:space="preserve">5. ***** Impactul premiului anual si fondului pentru acordarea premiului asupra indemnizatiei de concediu se va dubla pentru salariatii din sistemul educational care beneficiaza de 62 de zile de concediu de odihna anual, in conformitate cu Conventia colectiva </t>
  </si>
  <si>
    <t>Salariu de bază/funcție, lei</t>
  </si>
  <si>
    <t>1. *Salariul de funcție a personalului științifico-didactic și didactic se majorează cu 8% începînd cu 1 septembrie 2018.</t>
  </si>
  <si>
    <t>(nume, prenume)</t>
  </si>
  <si>
    <t>(semnătura)</t>
  </si>
  <si>
    <t>Datele de contact al executorului:</t>
  </si>
  <si>
    <t>(adresa electronică)</t>
  </si>
  <si>
    <t>Conducătorul autorității/ instituției:</t>
  </si>
  <si>
    <t>Calculul fondului anual de salarizare p/u cadrele didactice din instituțiile și organizațiile de învățămînt general și profesional tehnic pentru anul 2019</t>
  </si>
  <si>
    <t>personal didactic, științific și științifico-didactic</t>
  </si>
  <si>
    <t>Calculul fondului anual de salarizare p/u personalul didactic, științific și științifico-didactic din instituțiile de învățămînt superior, postuniversitar și de perfecționare a cadrelor, finanțate din buget, pentru anul 2019</t>
  </si>
  <si>
    <r>
      <t>23 = 6 *</t>
    </r>
    <r>
      <rPr>
        <sz val="7"/>
        <rFont val="Cambria"/>
        <family val="1"/>
        <scheme val="major"/>
      </rPr>
      <t xml:space="preserve"> 15% </t>
    </r>
  </si>
  <si>
    <t>29 = 6 + 8 + 10 + 12 + 14 + 16 + 17 + 19 + 21 + 22 + 23 + 24 + 25 + 26 + 28</t>
  </si>
  <si>
    <t>27 = (26 -22/ 1000)*23%</t>
  </si>
  <si>
    <t>Calculul fondului anual de salarizare p/u șoferi de autoturisme care deservesc aparatul primăriilor, consiliilor raionale, direcțiilor și secțiilor autonome ale acestora, serviciile desconcentrate în teritoriu ale ministerelor și altor organe administrative centrale pentru anul 2019</t>
  </si>
  <si>
    <t>Calculul fondului anual de salarizare p/u personalul contabilităților centralizate de pe lîngă ministere, alte autorități administrative centrale, autoritățile administrației publice locale și direcțiile lor autonome pentru anul 2019</t>
  </si>
  <si>
    <t>Calculul fondului anual de salarizare p/u personalul de specialitate  și cadre didactice din case de odihnă, case de creție, pensiuni, baze turistice, preventorii, baze de odihnă și tabere pentru copii pentru anul  2019</t>
  </si>
  <si>
    <r>
      <t>Ajutor material</t>
    </r>
    <r>
      <rPr>
        <sz val="8"/>
        <color theme="1"/>
        <rFont val="Cambria"/>
        <family val="1"/>
        <scheme val="major"/>
      </rPr>
      <t xml:space="preserve"> (pct.13 din Condiții unice aprobate prin HG nr.381/ 13.04.06)</t>
    </r>
    <r>
      <rPr>
        <sz val="10"/>
        <color theme="1"/>
        <rFont val="Cambria"/>
        <family val="1"/>
        <charset val="204"/>
        <scheme val="major"/>
      </rPr>
      <t>, lei</t>
    </r>
  </si>
  <si>
    <t>48 =( 47+44) / 12 luni * 2 luni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</si>
</sst>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 &quot;puncte&quot;"/>
    <numFmt numFmtId="165" formatCode="##0\ &quot;ore&quot;"/>
    <numFmt numFmtId="166" formatCode="0.0"/>
    <numFmt numFmtId="167" formatCode="#.0\ &quot;ore&quot;"/>
    <numFmt numFmtId="168" formatCode="#\ &quot;puncte&quot;"/>
    <numFmt numFmtId="169" formatCode="#,##0.0"/>
  </numFmts>
  <fonts count="4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2.5"/>
      <color theme="1"/>
      <name val="Calibri"/>
      <family val="2"/>
      <charset val="204"/>
      <scheme val="minor"/>
    </font>
    <font>
      <sz val="10"/>
      <color theme="1"/>
      <name val="Calibri"/>
      <family val="2"/>
      <charset val="204"/>
      <scheme val="minor"/>
    </font>
    <font>
      <sz val="8"/>
      <color theme="1"/>
      <name val="Calibri"/>
      <family val="2"/>
      <charset val="204"/>
      <scheme val="minor"/>
    </font>
    <font>
      <b/>
      <sz val="11.5"/>
      <color theme="1"/>
      <name val="Calibri"/>
      <family val="2"/>
      <charset val="204"/>
      <scheme val="minor"/>
    </font>
    <font>
      <b/>
      <i/>
      <sz val="12.5"/>
      <color theme="1"/>
      <name val="Calibri"/>
      <family val="2"/>
      <charset val="204"/>
      <scheme val="minor"/>
    </font>
    <font>
      <b/>
      <sz val="11.5"/>
      <name val="Calibri"/>
      <family val="2"/>
      <charset val="204"/>
      <scheme val="minor"/>
    </font>
    <font>
      <b/>
      <sz val="12"/>
      <color theme="1"/>
      <name val="Calibri"/>
      <family val="2"/>
      <charset val="204"/>
      <scheme val="minor"/>
    </font>
    <font>
      <sz val="12.5"/>
      <name val="Calibri"/>
      <family val="2"/>
      <charset val="204"/>
      <scheme val="minor"/>
    </font>
    <font>
      <b/>
      <sz val="10"/>
      <color theme="1"/>
      <name val="Calibri"/>
      <family val="2"/>
      <charset val="204"/>
      <scheme val="minor"/>
    </font>
    <font>
      <b/>
      <sz val="17"/>
      <color theme="1"/>
      <name val="Calibri"/>
      <family val="2"/>
      <charset val="204"/>
      <scheme val="minor"/>
    </font>
    <font>
      <sz val="12"/>
      <color theme="1"/>
      <name val="Calibri"/>
      <family val="2"/>
      <charset val="204"/>
      <scheme val="minor"/>
    </font>
    <font>
      <b/>
      <sz val="12"/>
      <color theme="1"/>
      <name val="Cambria"/>
      <family val="1"/>
      <charset val="204"/>
      <scheme val="major"/>
    </font>
    <font>
      <sz val="10"/>
      <color theme="1"/>
      <name val="Cambria"/>
      <family val="1"/>
      <charset val="204"/>
      <scheme val="major"/>
    </font>
    <font>
      <sz val="8"/>
      <color theme="1"/>
      <name val="Cambria"/>
      <family val="1"/>
      <charset val="204"/>
      <scheme val="major"/>
    </font>
    <font>
      <b/>
      <i/>
      <sz val="10"/>
      <color theme="1"/>
      <name val="Cambria"/>
      <family val="1"/>
      <charset val="204"/>
      <scheme val="major"/>
    </font>
    <font>
      <i/>
      <sz val="10"/>
      <color theme="1"/>
      <name val="Cambria"/>
      <family val="1"/>
      <charset val="204"/>
      <scheme val="major"/>
    </font>
    <font>
      <b/>
      <sz val="10"/>
      <color theme="1"/>
      <name val="Cambria"/>
      <family val="1"/>
      <charset val="204"/>
      <scheme val="major"/>
    </font>
    <font>
      <b/>
      <sz val="14"/>
      <name val="Cambria"/>
      <family val="1"/>
      <charset val="204"/>
      <scheme val="major"/>
    </font>
    <font>
      <sz val="10"/>
      <name val="Cambria"/>
      <family val="1"/>
      <charset val="204"/>
      <scheme val="major"/>
    </font>
    <font>
      <b/>
      <sz val="10"/>
      <name val="Cambria"/>
      <family val="1"/>
      <charset val="204"/>
      <scheme val="major"/>
    </font>
    <font>
      <sz val="12"/>
      <color theme="1"/>
      <name val="Cambria"/>
      <family val="1"/>
      <charset val="204"/>
      <scheme val="major"/>
    </font>
    <font>
      <sz val="8"/>
      <name val="Cambria"/>
      <family val="1"/>
      <charset val="204"/>
      <scheme val="major"/>
    </font>
    <font>
      <sz val="9"/>
      <color theme="1"/>
      <name val="Cambria"/>
      <family val="1"/>
      <charset val="204"/>
      <scheme val="major"/>
    </font>
    <font>
      <sz val="10"/>
      <color theme="1"/>
      <name val="Cambria"/>
      <family val="1"/>
      <charset val="204"/>
    </font>
    <font>
      <sz val="11"/>
      <color theme="1"/>
      <name val="Calibri"/>
      <family val="2"/>
      <scheme val="minor"/>
    </font>
    <font>
      <sz val="10"/>
      <name val="Times New Roman"/>
      <family val="1"/>
      <charset val="204"/>
    </font>
    <font>
      <b/>
      <sz val="10"/>
      <color theme="1"/>
      <name val="Cambria"/>
      <family val="1"/>
      <scheme val="major"/>
    </font>
    <font>
      <sz val="10"/>
      <color theme="1"/>
      <name val="Cambria"/>
      <family val="1"/>
      <scheme val="major"/>
    </font>
    <font>
      <i/>
      <sz val="10"/>
      <color theme="1"/>
      <name val="Cambria"/>
      <family val="1"/>
      <scheme val="major"/>
    </font>
    <font>
      <b/>
      <sz val="12"/>
      <color theme="1"/>
      <name val="Cambria"/>
      <family val="1"/>
      <scheme val="major"/>
    </font>
    <font>
      <sz val="12"/>
      <color theme="1"/>
      <name val="Cambria"/>
      <family val="1"/>
      <scheme val="major"/>
    </font>
    <font>
      <sz val="8"/>
      <name val="Cambria"/>
      <family val="1"/>
      <scheme val="major"/>
    </font>
    <font>
      <sz val="10"/>
      <name val="Cambria"/>
      <family val="1"/>
      <scheme val="major"/>
    </font>
    <font>
      <sz val="9"/>
      <color theme="1"/>
      <name val="Calibri"/>
      <family val="2"/>
      <charset val="204"/>
      <scheme val="minor"/>
    </font>
    <font>
      <sz val="10"/>
      <color rgb="FFFF0000"/>
      <name val="Cambria"/>
      <family val="1"/>
      <scheme val="major"/>
    </font>
    <font>
      <vertAlign val="superscript"/>
      <sz val="10"/>
      <color theme="1"/>
      <name val="Cambria"/>
      <family val="1"/>
      <scheme val="major"/>
    </font>
    <font>
      <sz val="9"/>
      <color indexed="81"/>
      <name val="Segoe UI"/>
      <family val="2"/>
    </font>
    <font>
      <b/>
      <sz val="9"/>
      <color indexed="81"/>
      <name val="Segoe UI"/>
      <family val="2"/>
    </font>
    <font>
      <vertAlign val="subscript"/>
      <sz val="10"/>
      <name val="Cambria"/>
      <family val="1"/>
      <charset val="204"/>
      <scheme val="major"/>
    </font>
    <font>
      <sz val="11"/>
      <name val="Calibri"/>
      <family val="2"/>
      <scheme val="minor"/>
    </font>
    <font>
      <b/>
      <sz val="10"/>
      <name val="Cambria"/>
      <family val="1"/>
      <scheme val="major"/>
    </font>
    <font>
      <sz val="7"/>
      <color theme="1"/>
      <name val="Cambria"/>
      <family val="1"/>
      <charset val="204"/>
      <scheme val="major"/>
    </font>
    <font>
      <sz val="7"/>
      <name val="Cambria"/>
      <family val="1"/>
      <scheme val="major"/>
    </font>
    <font>
      <sz val="7"/>
      <color theme="1"/>
      <name val="Calibri"/>
      <family val="2"/>
      <charset val="204"/>
      <scheme val="minor"/>
    </font>
    <font>
      <sz val="8"/>
      <color theme="1"/>
      <name val="Cambria"/>
      <family val="1"/>
      <scheme val="major"/>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style="hair">
        <color auto="1"/>
      </top>
      <bottom/>
      <diagonal/>
    </border>
    <border>
      <left style="hair">
        <color auto="1"/>
      </left>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
      <left/>
      <right style="hair">
        <color auto="1"/>
      </right>
      <top/>
      <bottom style="hair">
        <color auto="1"/>
      </bottom>
      <diagonal/>
    </border>
    <border>
      <left/>
      <right style="hair">
        <color auto="1"/>
      </right>
      <top style="hair">
        <color auto="1"/>
      </top>
      <bottom/>
      <diagonal/>
    </border>
    <border>
      <left style="hair">
        <color auto="1"/>
      </left>
      <right/>
      <top/>
      <bottom/>
      <diagonal/>
    </border>
    <border>
      <left/>
      <right/>
      <top/>
      <bottom style="thin">
        <color indexed="64"/>
      </bottom>
      <diagonal/>
    </border>
    <border>
      <left/>
      <right style="hair">
        <color auto="1"/>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s>
  <cellStyleXfs count="2">
    <xf numFmtId="0" fontId="0" fillId="0" borderId="0"/>
    <xf numFmtId="0" fontId="27" fillId="0" borderId="0"/>
  </cellStyleXfs>
  <cellXfs count="375">
    <xf numFmtId="0" fontId="0" fillId="0" borderId="0" xfId="0"/>
    <xf numFmtId="0" fontId="3" fillId="0" borderId="0" xfId="0" applyFont="1"/>
    <xf numFmtId="0" fontId="5" fillId="0" borderId="0" xfId="0" applyFont="1" applyAlignment="1">
      <alignment horizontal="center" vertical="center"/>
    </xf>
    <xf numFmtId="0" fontId="9" fillId="0" borderId="0" xfId="0" applyFont="1" applyAlignment="1"/>
    <xf numFmtId="0" fontId="12" fillId="0" borderId="0" xfId="0" applyFont="1" applyAlignment="1"/>
    <xf numFmtId="0" fontId="13" fillId="0" borderId="0" xfId="0" applyFont="1"/>
    <xf numFmtId="0" fontId="4" fillId="0" borderId="0" xfId="0" applyFont="1" applyBorder="1"/>
    <xf numFmtId="0" fontId="4" fillId="0" borderId="0" xfId="0" applyFont="1"/>
    <xf numFmtId="0" fontId="2" fillId="0" borderId="0" xfId="0" applyFont="1"/>
    <xf numFmtId="0" fontId="12" fillId="0" borderId="0" xfId="0" applyFont="1" applyAlignment="1">
      <alignment wrapText="1"/>
    </xf>
    <xf numFmtId="0" fontId="12" fillId="0" borderId="0" xfId="0" applyFont="1" applyAlignment="1">
      <alignment horizontal="center" vertical="center" wrapText="1"/>
    </xf>
    <xf numFmtId="0" fontId="7" fillId="0" borderId="0" xfId="0" applyFont="1" applyAlignment="1">
      <alignment vertical="top" wrapText="1"/>
    </xf>
    <xf numFmtId="0" fontId="11" fillId="0" borderId="0" xfId="0" applyFont="1" applyAlignment="1">
      <alignment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Border="1" applyAlignment="1">
      <alignment horizontal="center" vertical="center"/>
    </xf>
    <xf numFmtId="0" fontId="16" fillId="2" borderId="1" xfId="0" applyFont="1" applyFill="1" applyBorder="1" applyAlignment="1" applyProtection="1">
      <alignment horizontal="center" vertical="center" wrapText="1"/>
      <protection locked="0"/>
    </xf>
    <xf numFmtId="0" fontId="15" fillId="0" borderId="1" xfId="0" applyFont="1" applyBorder="1" applyAlignment="1"/>
    <xf numFmtId="0" fontId="15" fillId="0" borderId="1" xfId="0" applyFont="1" applyBorder="1"/>
    <xf numFmtId="0" fontId="15" fillId="0" borderId="0" xfId="0" applyFont="1" applyBorder="1" applyAlignment="1"/>
    <xf numFmtId="0" fontId="15" fillId="0" borderId="0" xfId="0" applyFont="1" applyBorder="1"/>
    <xf numFmtId="0" fontId="15" fillId="0" borderId="0" xfId="0" applyFont="1"/>
    <xf numFmtId="49" fontId="15" fillId="0" borderId="0" xfId="0" applyNumberFormat="1" applyFont="1" applyFill="1" applyBorder="1"/>
    <xf numFmtId="0" fontId="15" fillId="0" borderId="0" xfId="0" applyFont="1" applyFill="1" applyBorder="1"/>
    <xf numFmtId="0" fontId="15" fillId="0" borderId="0" xfId="0" applyFont="1" applyAlignment="1">
      <alignment vertical="top"/>
    </xf>
    <xf numFmtId="0" fontId="15"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vertical="center" wrapText="1"/>
    </xf>
    <xf numFmtId="0" fontId="17" fillId="0" borderId="0" xfId="0" applyFont="1" applyAlignment="1">
      <alignment vertical="top" wrapText="1"/>
    </xf>
    <xf numFmtId="0" fontId="15" fillId="0" borderId="0" xfId="0" applyFont="1" applyAlignment="1"/>
    <xf numFmtId="0" fontId="19" fillId="0" borderId="0" xfId="0" applyFont="1" applyAlignment="1">
      <alignment horizontal="center"/>
    </xf>
    <xf numFmtId="0" fontId="19" fillId="0" borderId="0" xfId="0" applyFont="1" applyBorder="1" applyAlignment="1">
      <alignment horizontal="center"/>
    </xf>
    <xf numFmtId="0" fontId="15" fillId="0" borderId="0" xfId="0" applyFont="1" applyAlignment="1">
      <alignment wrapText="1"/>
    </xf>
    <xf numFmtId="49" fontId="19" fillId="0" borderId="0" xfId="0" applyNumberFormat="1" applyFont="1" applyBorder="1" applyAlignment="1">
      <alignment horizontal="center"/>
    </xf>
    <xf numFmtId="0" fontId="15" fillId="0" borderId="0" xfId="0" applyFont="1" applyBorder="1" applyAlignment="1">
      <alignment wrapText="1"/>
    </xf>
    <xf numFmtId="0" fontId="15" fillId="0" borderId="1" xfId="0" applyFont="1" applyFill="1" applyBorder="1" applyAlignment="1">
      <alignment horizontal="center" vertical="center" wrapText="1"/>
    </xf>
    <xf numFmtId="0" fontId="15" fillId="0" borderId="0" xfId="0" applyFont="1" applyBorder="1" applyAlignment="1">
      <alignment horizontal="center"/>
    </xf>
    <xf numFmtId="0" fontId="15" fillId="0" borderId="0" xfId="0" applyFont="1" applyAlignment="1">
      <alignment horizontal="left" wrapText="1"/>
    </xf>
    <xf numFmtId="49" fontId="19" fillId="0" borderId="0" xfId="0" applyNumberFormat="1" applyFont="1"/>
    <xf numFmtId="0" fontId="19" fillId="0" borderId="0" xfId="0" applyFont="1" applyAlignment="1">
      <alignment vertical="top"/>
    </xf>
    <xf numFmtId="0" fontId="19" fillId="0" borderId="0" xfId="0" applyFont="1" applyAlignment="1">
      <alignment vertical="top" wrapText="1"/>
    </xf>
    <xf numFmtId="0" fontId="20" fillId="0" borderId="0" xfId="0" applyFont="1" applyFill="1" applyBorder="1" applyAlignment="1">
      <alignment horizontal="center" vertical="center"/>
    </xf>
    <xf numFmtId="0" fontId="19" fillId="0" borderId="0" xfId="0" applyFont="1" applyBorder="1" applyAlignment="1">
      <alignment vertical="center" wrapText="1"/>
    </xf>
    <xf numFmtId="0" fontId="17" fillId="0" borderId="0" xfId="0" applyFont="1" applyBorder="1" applyAlignment="1">
      <alignment vertical="top" wrapText="1"/>
    </xf>
    <xf numFmtId="0" fontId="19" fillId="0" borderId="0" xfId="0" applyFont="1" applyAlignment="1"/>
    <xf numFmtId="0" fontId="19" fillId="0" borderId="0" xfId="0" applyFont="1" applyAlignment="1">
      <alignment wrapText="1"/>
    </xf>
    <xf numFmtId="0" fontId="15" fillId="0" borderId="1" xfId="0" applyFont="1" applyBorder="1" applyAlignment="1">
      <alignment horizontal="center" vertical="center" wrapText="1"/>
    </xf>
    <xf numFmtId="0" fontId="22" fillId="0" borderId="0" xfId="0" applyFont="1" applyFill="1" applyAlignment="1">
      <alignment horizontal="left" vertical="center" wrapText="1"/>
    </xf>
    <xf numFmtId="0" fontId="21" fillId="0" borderId="0" xfId="0" applyFont="1" applyFill="1" applyAlignment="1">
      <alignment horizontal="center" vertical="center"/>
    </xf>
    <xf numFmtId="0" fontId="21" fillId="0" borderId="0" xfId="0" applyFont="1" applyFill="1"/>
    <xf numFmtId="0" fontId="14" fillId="0" borderId="0" xfId="0" applyFont="1" applyAlignment="1"/>
    <xf numFmtId="0" fontId="19" fillId="0" borderId="0" xfId="0" applyFont="1" applyAlignment="1">
      <alignment horizontal="center" wrapText="1"/>
    </xf>
    <xf numFmtId="0" fontId="23" fillId="0" borderId="0" xfId="0" applyFont="1"/>
    <xf numFmtId="0" fontId="17" fillId="0" borderId="0" xfId="0" applyFont="1" applyAlignment="1">
      <alignment vertical="top"/>
    </xf>
    <xf numFmtId="0" fontId="19" fillId="0" borderId="0" xfId="0" applyFont="1" applyBorder="1" applyAlignment="1">
      <alignment horizontal="center" wrapText="1"/>
    </xf>
    <xf numFmtId="0" fontId="19" fillId="0" borderId="0" xfId="0" applyFont="1" applyBorder="1" applyAlignment="1">
      <alignment wrapText="1"/>
    </xf>
    <xf numFmtId="0" fontId="24" fillId="0" borderId="1" xfId="0" applyFont="1" applyBorder="1" applyAlignment="1">
      <alignment horizontal="center" vertical="center" wrapText="1"/>
    </xf>
    <xf numFmtId="0" fontId="15" fillId="0" borderId="2" xfId="0" applyFont="1" applyBorder="1" applyAlignment="1"/>
    <xf numFmtId="0" fontId="18" fillId="0" borderId="0" xfId="0" applyFont="1" applyAlignment="1">
      <alignment vertical="top"/>
    </xf>
    <xf numFmtId="0" fontId="15" fillId="0" borderId="0" xfId="0" applyFont="1" applyAlignment="1">
      <alignment horizontal="center" wrapText="1"/>
    </xf>
    <xf numFmtId="0" fontId="14" fillId="0" borderId="0" xfId="0" applyFont="1" applyBorder="1" applyAlignment="1"/>
    <xf numFmtId="0" fontId="1" fillId="0" borderId="0" xfId="0" applyFont="1" applyFill="1"/>
    <xf numFmtId="0" fontId="19" fillId="0" borderId="0" xfId="0" applyFont="1"/>
    <xf numFmtId="0" fontId="11" fillId="0" borderId="0" xfId="0" applyFont="1" applyBorder="1"/>
    <xf numFmtId="0" fontId="11" fillId="0" borderId="0" xfId="0" applyFont="1"/>
    <xf numFmtId="0" fontId="1" fillId="0" borderId="0" xfId="0" applyFont="1"/>
    <xf numFmtId="0" fontId="16" fillId="0" borderId="0" xfId="0" applyFont="1" applyAlignment="1">
      <alignment horizontal="center" vertical="center"/>
    </xf>
    <xf numFmtId="0" fontId="15" fillId="0" borderId="0" xfId="0" applyFont="1" applyAlignment="1">
      <alignment vertical="center" wrapText="1"/>
    </xf>
    <xf numFmtId="0" fontId="16" fillId="0" borderId="1" xfId="0" applyFont="1" applyFill="1" applyBorder="1" applyAlignment="1">
      <alignment horizontal="center" vertical="center"/>
    </xf>
    <xf numFmtId="0" fontId="21" fillId="0" borderId="0" xfId="0" applyFont="1" applyFill="1" applyAlignment="1">
      <alignment horizontal="left" vertical="top" wrapText="1"/>
    </xf>
    <xf numFmtId="0" fontId="15" fillId="0" borderId="1" xfId="0" applyFont="1" applyBorder="1" applyAlignment="1">
      <alignment horizontal="center"/>
    </xf>
    <xf numFmtId="0" fontId="18" fillId="0" borderId="0" xfId="0" applyFont="1" applyAlignment="1">
      <alignment horizontal="center" vertical="top"/>
    </xf>
    <xf numFmtId="0" fontId="18" fillId="0" borderId="0" xfId="0" applyFont="1" applyAlignment="1">
      <alignment horizontal="center" vertical="top"/>
    </xf>
    <xf numFmtId="0" fontId="21" fillId="0" borderId="0" xfId="0" applyFont="1" applyFill="1" applyAlignment="1">
      <alignment horizontal="left" vertical="center" wrapText="1"/>
    </xf>
    <xf numFmtId="0" fontId="21" fillId="0" borderId="0" xfId="0" applyFont="1" applyBorder="1" applyAlignment="1">
      <alignment horizontal="center"/>
    </xf>
    <xf numFmtId="0" fontId="21" fillId="0" borderId="0" xfId="0" applyFont="1"/>
    <xf numFmtId="0" fontId="21" fillId="0" borderId="0" xfId="0" applyFont="1" applyAlignment="1">
      <alignment horizontal="left" wrapText="1"/>
    </xf>
    <xf numFmtId="0" fontId="21" fillId="0" borderId="0" xfId="0" applyFont="1" applyBorder="1"/>
    <xf numFmtId="0" fontId="21" fillId="0" borderId="0" xfId="0" applyFont="1" applyFill="1" applyAlignment="1">
      <alignment vertical="center" wrapText="1"/>
    </xf>
    <xf numFmtId="0" fontId="22" fillId="0" borderId="0" xfId="0" applyFont="1" applyAlignment="1"/>
    <xf numFmtId="0" fontId="21" fillId="0" borderId="1" xfId="0" applyFont="1" applyBorder="1" applyAlignment="1">
      <alignment horizontal="center"/>
    </xf>
    <xf numFmtId="0" fontId="15" fillId="0" borderId="1" xfId="0" applyFont="1" applyBorder="1" applyAlignment="1">
      <alignment wrapText="1"/>
    </xf>
    <xf numFmtId="0" fontId="15" fillId="0" borderId="16" xfId="0" applyFont="1" applyBorder="1" applyAlignment="1">
      <alignment wrapText="1"/>
    </xf>
    <xf numFmtId="0" fontId="28" fillId="0" borderId="14" xfId="1" applyFont="1" applyBorder="1" applyAlignment="1" applyProtection="1">
      <alignment horizontal="left" vertical="center" wrapText="1"/>
    </xf>
    <xf numFmtId="0" fontId="15" fillId="3" borderId="1" xfId="0" applyFont="1" applyFill="1" applyBorder="1"/>
    <xf numFmtId="0" fontId="28" fillId="3" borderId="14" xfId="1" applyFont="1" applyFill="1" applyBorder="1" applyAlignment="1" applyProtection="1">
      <alignment horizontal="left" vertical="center" wrapText="1"/>
    </xf>
    <xf numFmtId="0" fontId="15" fillId="3" borderId="1" xfId="0" applyFont="1" applyFill="1" applyBorder="1" applyAlignment="1">
      <alignment horizontal="left" vertical="center" wrapText="1"/>
    </xf>
    <xf numFmtId="0" fontId="15" fillId="3" borderId="0" xfId="0" applyFont="1" applyFill="1"/>
    <xf numFmtId="0" fontId="15" fillId="3" borderId="1" xfId="0" applyFont="1" applyFill="1" applyBorder="1" applyAlignment="1">
      <alignment wrapText="1"/>
    </xf>
    <xf numFmtId="0" fontId="25" fillId="0" borderId="1" xfId="0" applyFont="1" applyBorder="1"/>
    <xf numFmtId="0" fontId="15" fillId="0" borderId="0" xfId="0" applyFont="1" applyBorder="1" applyAlignment="1">
      <alignment horizontal="center"/>
    </xf>
    <xf numFmtId="2" fontId="25" fillId="0" borderId="1" xfId="0" applyNumberFormat="1" applyFont="1" applyBorder="1"/>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21" fillId="0" borderId="0" xfId="0" applyFont="1" applyFill="1" applyAlignment="1">
      <alignment horizontal="left" vertical="top" wrapText="1"/>
    </xf>
    <xf numFmtId="0" fontId="15" fillId="0" borderId="2" xfId="0" applyFont="1" applyFill="1" applyBorder="1" applyAlignment="1">
      <alignment horizontal="center" vertical="center" wrapText="1"/>
    </xf>
    <xf numFmtId="0" fontId="21" fillId="0" borderId="0" xfId="0" applyFont="1" applyFill="1" applyAlignment="1">
      <alignment horizontal="left" vertical="center" wrapText="1"/>
    </xf>
    <xf numFmtId="0" fontId="19" fillId="0" borderId="0" xfId="0" applyFont="1" applyBorder="1" applyAlignment="1">
      <alignment horizontal="right"/>
    </xf>
    <xf numFmtId="0" fontId="21" fillId="0" borderId="0" xfId="0" applyFont="1" applyFill="1" applyBorder="1" applyAlignment="1">
      <alignment horizontal="center" vertical="center"/>
    </xf>
    <xf numFmtId="0" fontId="15" fillId="0" borderId="1" xfId="0" applyFont="1" applyFill="1" applyBorder="1" applyAlignment="1">
      <alignment horizontal="center" vertical="center" wrapText="1"/>
    </xf>
    <xf numFmtId="0" fontId="19" fillId="0" borderId="0" xfId="0" applyFont="1" applyBorder="1" applyAlignment="1">
      <alignment horizontal="center"/>
    </xf>
    <xf numFmtId="0" fontId="18" fillId="0" borderId="0" xfId="0" applyFont="1" applyAlignment="1">
      <alignment horizontal="center" vertical="top"/>
    </xf>
    <xf numFmtId="0" fontId="15" fillId="0" borderId="0" xfId="0" applyFont="1" applyBorder="1" applyAlignment="1">
      <alignment horizontal="center"/>
    </xf>
    <xf numFmtId="9" fontId="15" fillId="0" borderId="1" xfId="0" applyNumberFormat="1" applyFont="1" applyBorder="1"/>
    <xf numFmtId="164" fontId="15" fillId="0" borderId="1" xfId="0" applyNumberFormat="1" applyFont="1" applyBorder="1"/>
    <xf numFmtId="2" fontId="25" fillId="3" borderId="1" xfId="0" applyNumberFormat="1" applyFont="1" applyFill="1" applyBorder="1"/>
    <xf numFmtId="9" fontId="15" fillId="0" borderId="0" xfId="0" applyNumberFormat="1" applyFont="1" applyBorder="1"/>
    <xf numFmtId="0" fontId="15" fillId="0" borderId="15" xfId="0" applyFont="1" applyBorder="1" applyAlignment="1">
      <alignment horizontal="left" vertical="top"/>
    </xf>
    <xf numFmtId="10" fontId="15" fillId="0" borderId="0" xfId="0" applyNumberFormat="1" applyFont="1" applyBorder="1"/>
    <xf numFmtId="0" fontId="30" fillId="0" borderId="0" xfId="0" applyFont="1" applyBorder="1" applyAlignment="1">
      <alignment horizontal="right"/>
    </xf>
    <xf numFmtId="165" fontId="15" fillId="0" borderId="0" xfId="0" applyNumberFormat="1" applyFont="1" applyBorder="1"/>
    <xf numFmtId="0" fontId="31" fillId="0" borderId="0" xfId="0" applyFont="1" applyBorder="1" applyAlignment="1">
      <alignment vertical="center"/>
    </xf>
    <xf numFmtId="0" fontId="31" fillId="0" borderId="0" xfId="0" applyFont="1" applyBorder="1"/>
    <xf numFmtId="0" fontId="15" fillId="0" borderId="0" xfId="0" applyFont="1" applyBorder="1" applyAlignment="1">
      <alignment horizontal="right"/>
    </xf>
    <xf numFmtId="0" fontId="15" fillId="2" borderId="0" xfId="0" applyFont="1" applyFill="1" applyBorder="1" applyAlignment="1" applyProtection="1">
      <alignment vertical="center" wrapText="1"/>
      <protection locked="0"/>
    </xf>
    <xf numFmtId="0" fontId="29" fillId="0" borderId="0" xfId="0" applyFont="1" applyBorder="1" applyAlignment="1">
      <alignment horizontal="left" vertical="top"/>
    </xf>
    <xf numFmtId="166" fontId="15" fillId="3" borderId="1" xfId="0" applyNumberFormat="1" applyFont="1" applyFill="1" applyBorder="1"/>
    <xf numFmtId="0" fontId="15" fillId="0" borderId="1" xfId="0" applyFont="1" applyBorder="1" applyAlignment="1">
      <alignment horizontal="center" vertical="center" wrapText="1"/>
    </xf>
    <xf numFmtId="0" fontId="19" fillId="0" borderId="0" xfId="0" applyFont="1" applyBorder="1" applyAlignment="1">
      <alignment horizontal="right"/>
    </xf>
    <xf numFmtId="0" fontId="21" fillId="0" borderId="0" xfId="0" applyFont="1" applyFill="1" applyAlignment="1">
      <alignment horizontal="left" vertical="top" wrapText="1"/>
    </xf>
    <xf numFmtId="0" fontId="21" fillId="0" borderId="0" xfId="0" applyFont="1" applyFill="1" applyAlignment="1">
      <alignment horizontal="left" vertical="center" wrapText="1"/>
    </xf>
    <xf numFmtId="0" fontId="18" fillId="0" borderId="0" xfId="0" applyFont="1" applyAlignment="1">
      <alignment horizontal="center" vertical="top" wrapText="1"/>
    </xf>
    <xf numFmtId="0" fontId="19" fillId="0" borderId="0" xfId="0" applyFont="1" applyBorder="1" applyAlignment="1">
      <alignment horizontal="center"/>
    </xf>
    <xf numFmtId="0" fontId="15" fillId="0" borderId="1" xfId="0" applyFont="1" applyFill="1" applyBorder="1" applyAlignment="1">
      <alignment horizontal="center" vertical="center" wrapText="1"/>
    </xf>
    <xf numFmtId="0" fontId="15" fillId="0" borderId="0" xfId="0" applyFont="1" applyBorder="1" applyAlignment="1">
      <alignment horizontal="center"/>
    </xf>
    <xf numFmtId="0" fontId="18" fillId="0" borderId="0" xfId="0" applyFont="1" applyAlignment="1">
      <alignment horizontal="center" vertical="top"/>
    </xf>
    <xf numFmtId="164" fontId="15" fillId="3" borderId="1" xfId="0" applyNumberFormat="1" applyFont="1" applyFill="1" applyBorder="1"/>
    <xf numFmtId="0" fontId="15" fillId="2" borderId="1" xfId="0" applyFont="1" applyFill="1" applyBorder="1"/>
    <xf numFmtId="0" fontId="15" fillId="2" borderId="0" xfId="0" applyFont="1" applyFill="1" applyBorder="1"/>
    <xf numFmtId="0" fontId="22" fillId="0" borderId="0" xfId="0" applyFont="1" applyFill="1" applyAlignment="1">
      <alignment horizontal="left" vertical="center" wrapText="1"/>
    </xf>
    <xf numFmtId="0" fontId="16" fillId="3" borderId="1" xfId="0" applyFont="1" applyFill="1" applyBorder="1" applyAlignment="1">
      <alignment horizontal="center" vertical="center" wrapText="1"/>
    </xf>
    <xf numFmtId="166" fontId="15" fillId="3" borderId="1" xfId="0" applyNumberFormat="1" applyFont="1" applyFill="1" applyBorder="1" applyAlignment="1">
      <alignment horizontal="right" wrapText="1"/>
    </xf>
    <xf numFmtId="0" fontId="16" fillId="3" borderId="0" xfId="0" applyFont="1" applyFill="1" applyAlignment="1">
      <alignment horizontal="center" vertical="center"/>
    </xf>
    <xf numFmtId="0" fontId="31" fillId="0" borderId="1" xfId="0" applyFont="1" applyBorder="1"/>
    <xf numFmtId="166" fontId="15" fillId="0" borderId="1" xfId="0" applyNumberFormat="1" applyFont="1" applyBorder="1"/>
    <xf numFmtId="49" fontId="15" fillId="0" borderId="1" xfId="0" applyNumberFormat="1" applyFont="1" applyBorder="1"/>
    <xf numFmtId="2" fontId="15" fillId="0" borderId="0" xfId="0" applyNumberFormat="1" applyFont="1" applyBorder="1"/>
    <xf numFmtId="166" fontId="15" fillId="3" borderId="1" xfId="0" applyNumberFormat="1" applyFont="1" applyFill="1" applyBorder="1" applyAlignment="1">
      <alignment horizontal="right" vertical="center" wrapText="1"/>
    </xf>
    <xf numFmtId="0" fontId="21" fillId="0" borderId="0" xfId="0" applyFont="1" applyFill="1" applyAlignment="1">
      <alignment vertical="center"/>
    </xf>
    <xf numFmtId="0" fontId="34" fillId="0" borderId="1" xfId="0" applyFont="1" applyBorder="1" applyAlignment="1">
      <alignment horizontal="center" vertical="center" wrapText="1"/>
    </xf>
    <xf numFmtId="0" fontId="30" fillId="0" borderId="1" xfId="0" applyFont="1" applyBorder="1"/>
    <xf numFmtId="0" fontId="30" fillId="0" borderId="1" xfId="0" applyFont="1" applyBorder="1" applyAlignment="1">
      <alignment horizontal="center" vertical="center"/>
    </xf>
    <xf numFmtId="0" fontId="30" fillId="0" borderId="0" xfId="0" applyFont="1"/>
    <xf numFmtId="2" fontId="30" fillId="0" borderId="1" xfId="0" applyNumberFormat="1" applyFont="1" applyBorder="1"/>
    <xf numFmtId="10" fontId="15" fillId="0" borderId="1" xfId="0" applyNumberFormat="1" applyFont="1" applyBorder="1"/>
    <xf numFmtId="49" fontId="15" fillId="0" borderId="1" xfId="0" applyNumberFormat="1" applyFont="1" applyBorder="1" applyAlignment="1">
      <alignment horizontal="center"/>
    </xf>
    <xf numFmtId="0" fontId="30" fillId="0" borderId="1" xfId="0" applyFont="1" applyBorder="1" applyAlignment="1">
      <alignment wrapText="1"/>
    </xf>
    <xf numFmtId="0" fontId="25"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0" xfId="0" applyFont="1" applyFill="1" applyAlignment="1">
      <alignment horizontal="center" vertical="center"/>
    </xf>
    <xf numFmtId="0" fontId="36" fillId="3" borderId="0" xfId="0" applyFont="1" applyFill="1" applyAlignment="1">
      <alignment horizontal="center" vertical="center"/>
    </xf>
    <xf numFmtId="9" fontId="15" fillId="0" borderId="1" xfId="0" applyNumberFormat="1" applyFont="1" applyBorder="1" applyAlignment="1">
      <alignment horizontal="right"/>
    </xf>
    <xf numFmtId="0" fontId="5" fillId="3" borderId="0" xfId="0" applyFont="1" applyFill="1" applyAlignment="1">
      <alignment horizontal="center" vertical="center"/>
    </xf>
    <xf numFmtId="0" fontId="15" fillId="0" borderId="1" xfId="0" applyFont="1" applyFill="1" applyBorder="1" applyAlignment="1">
      <alignment horizontal="right" vertical="center" wrapText="1"/>
    </xf>
    <xf numFmtId="0" fontId="15" fillId="0" borderId="1" xfId="0" applyFont="1" applyFill="1" applyBorder="1" applyAlignment="1">
      <alignment horizontal="left" vertical="center" wrapText="1"/>
    </xf>
    <xf numFmtId="0" fontId="4" fillId="0" borderId="0" xfId="0" applyFont="1" applyFill="1" applyAlignment="1">
      <alignment horizontal="center" vertical="center"/>
    </xf>
    <xf numFmtId="0" fontId="25" fillId="0" borderId="1" xfId="0" applyFont="1" applyBorder="1" applyAlignment="1">
      <alignment horizontal="right" vertical="center" wrapText="1"/>
    </xf>
    <xf numFmtId="0" fontId="1" fillId="3" borderId="0" xfId="0" applyFont="1" applyFill="1"/>
    <xf numFmtId="0" fontId="15" fillId="0" borderId="1" xfId="0" applyFont="1" applyBorder="1" applyAlignment="1">
      <alignment horizontal="right"/>
    </xf>
    <xf numFmtId="9" fontId="21" fillId="0" borderId="0" xfId="0" applyNumberFormat="1" applyFont="1" applyFill="1" applyAlignment="1">
      <alignment horizontal="center" vertical="center"/>
    </xf>
    <xf numFmtId="9" fontId="15" fillId="3" borderId="1" xfId="0" applyNumberFormat="1" applyFont="1" applyFill="1" applyBorder="1"/>
    <xf numFmtId="10" fontId="21" fillId="0" borderId="0" xfId="0" applyNumberFormat="1" applyFont="1" applyFill="1" applyAlignment="1">
      <alignment horizontal="center" vertical="center"/>
    </xf>
    <xf numFmtId="0" fontId="16" fillId="0" borderId="1" xfId="0" applyFont="1" applyFill="1" applyBorder="1" applyAlignment="1" applyProtection="1">
      <alignment horizontal="center" vertical="center" wrapText="1"/>
      <protection locked="0"/>
    </xf>
    <xf numFmtId="49" fontId="15" fillId="3" borderId="1" xfId="0" applyNumberFormat="1" applyFont="1" applyFill="1" applyBorder="1"/>
    <xf numFmtId="165" fontId="15" fillId="3" borderId="1" xfId="0" applyNumberFormat="1" applyFont="1" applyFill="1" applyBorder="1"/>
    <xf numFmtId="0" fontId="30" fillId="0" borderId="1" xfId="0" applyFont="1" applyBorder="1" applyAlignment="1">
      <alignment horizontal="right"/>
    </xf>
    <xf numFmtId="165" fontId="15" fillId="0" borderId="1" xfId="0" applyNumberFormat="1" applyFont="1" applyBorder="1"/>
    <xf numFmtId="10" fontId="21" fillId="0" borderId="0" xfId="0" applyNumberFormat="1" applyFont="1" applyFill="1"/>
    <xf numFmtId="0" fontId="30" fillId="0" borderId="1" xfId="0" applyFont="1" applyBorder="1" applyAlignment="1"/>
    <xf numFmtId="0" fontId="15" fillId="0" borderId="0" xfId="0" applyFont="1" applyFill="1"/>
    <xf numFmtId="0" fontId="30" fillId="3" borderId="1" xfId="0" applyFont="1" applyFill="1" applyBorder="1"/>
    <xf numFmtId="0" fontId="30" fillId="3" borderId="1" xfId="0" applyFont="1" applyFill="1" applyBorder="1" applyAlignment="1">
      <alignment horizontal="left" vertical="center" wrapText="1"/>
    </xf>
    <xf numFmtId="0" fontId="30" fillId="3" borderId="0" xfId="0" applyFont="1" applyFill="1"/>
    <xf numFmtId="0" fontId="1" fillId="0" borderId="0" xfId="0" applyFont="1" applyAlignment="1">
      <alignment horizontal="center" vertical="center" wrapText="1"/>
    </xf>
    <xf numFmtId="0" fontId="18" fillId="0" borderId="0" xfId="0" applyFont="1" applyAlignment="1">
      <alignment vertical="top" wrapText="1"/>
    </xf>
    <xf numFmtId="10" fontId="15" fillId="3" borderId="1" xfId="0" applyNumberFormat="1" applyFont="1" applyFill="1" applyBorder="1"/>
    <xf numFmtId="9" fontId="15" fillId="0" borderId="0" xfId="0" applyNumberFormat="1" applyFont="1"/>
    <xf numFmtId="0" fontId="15" fillId="0" borderId="1" xfId="0" applyFont="1" applyFill="1" applyBorder="1"/>
    <xf numFmtId="0" fontId="21" fillId="0" borderId="0" xfId="0" applyFont="1" applyFill="1" applyAlignment="1">
      <alignment horizontal="left" vertical="center" wrapText="1"/>
    </xf>
    <xf numFmtId="0" fontId="21" fillId="0" borderId="0" xfId="0" applyFont="1" applyFill="1" applyAlignment="1">
      <alignment horizontal="left" vertical="top" wrapText="1"/>
    </xf>
    <xf numFmtId="0" fontId="41" fillId="0" borderId="0" xfId="0" applyFont="1" applyFill="1" applyAlignment="1">
      <alignment wrapText="1"/>
    </xf>
    <xf numFmtId="0" fontId="42" fillId="0" borderId="0" xfId="0" applyFont="1"/>
    <xf numFmtId="0" fontId="21" fillId="0" borderId="0" xfId="0" applyFont="1" applyFill="1" applyBorder="1" applyAlignment="1">
      <alignment wrapText="1"/>
    </xf>
    <xf numFmtId="0" fontId="21" fillId="0" borderId="0" xfId="0" applyFont="1" applyFill="1" applyAlignment="1"/>
    <xf numFmtId="0" fontId="21" fillId="0" borderId="0" xfId="0" applyFont="1" applyFill="1" applyAlignment="1">
      <alignment horizontal="right" vertical="center" wrapText="1"/>
    </xf>
    <xf numFmtId="0" fontId="21" fillId="0" borderId="0" xfId="0" applyFont="1" applyFill="1" applyBorder="1" applyAlignment="1">
      <alignment vertical="center" wrapText="1"/>
    </xf>
    <xf numFmtId="0" fontId="29" fillId="0" borderId="0" xfId="0" applyFont="1"/>
    <xf numFmtId="0" fontId="21" fillId="0" borderId="0" xfId="0" applyFont="1" applyFill="1" applyBorder="1" applyAlignment="1">
      <alignment vertical="top" wrapText="1"/>
    </xf>
    <xf numFmtId="0" fontId="15" fillId="0" borderId="1" xfId="0" applyFont="1" applyFill="1" applyBorder="1" applyAlignment="1">
      <alignment horizontal="center" wrapText="1"/>
    </xf>
    <xf numFmtId="164" fontId="15" fillId="0" borderId="1" xfId="0" applyNumberFormat="1" applyFont="1" applyBorder="1" applyAlignment="1"/>
    <xf numFmtId="167" fontId="15" fillId="0" borderId="1" xfId="0" applyNumberFormat="1" applyFont="1" applyBorder="1" applyAlignment="1"/>
    <xf numFmtId="0" fontId="16" fillId="0" borderId="1" xfId="0" applyFont="1" applyBorder="1" applyAlignment="1">
      <alignment horizontal="center" wrapText="1"/>
    </xf>
    <xf numFmtId="0" fontId="16" fillId="0" borderId="1" xfId="0" applyFont="1" applyFill="1" applyBorder="1" applyAlignment="1">
      <alignment horizontal="center" wrapText="1"/>
    </xf>
    <xf numFmtId="0" fontId="15" fillId="3" borderId="1" xfId="0" applyFont="1" applyFill="1" applyBorder="1" applyAlignment="1"/>
    <xf numFmtId="9" fontId="15" fillId="0" borderId="1" xfId="0" applyNumberFormat="1" applyFont="1" applyBorder="1" applyAlignment="1"/>
    <xf numFmtId="49" fontId="15" fillId="0" borderId="1" xfId="0" applyNumberFormat="1" applyFont="1" applyBorder="1" applyAlignment="1"/>
    <xf numFmtId="169" fontId="15" fillId="3" borderId="1" xfId="0" applyNumberFormat="1" applyFont="1" applyFill="1" applyBorder="1"/>
    <xf numFmtId="169" fontId="15" fillId="0" borderId="1" xfId="0" applyNumberFormat="1" applyFont="1" applyBorder="1"/>
    <xf numFmtId="169" fontId="15" fillId="2" borderId="1" xfId="0" applyNumberFormat="1" applyFont="1" applyFill="1" applyBorder="1" applyAlignment="1" applyProtection="1">
      <alignment vertical="center" wrapText="1"/>
      <protection locked="0"/>
    </xf>
    <xf numFmtId="169" fontId="15" fillId="0" borderId="1" xfId="0" applyNumberFormat="1" applyFont="1" applyBorder="1" applyAlignment="1">
      <alignment horizontal="right" vertical="center"/>
    </xf>
    <xf numFmtId="169" fontId="15" fillId="0" borderId="1" xfId="0" applyNumberFormat="1" applyFont="1" applyBorder="1" applyAlignment="1">
      <alignment horizontal="right"/>
    </xf>
    <xf numFmtId="169" fontId="15" fillId="0" borderId="1" xfId="0" applyNumberFormat="1" applyFont="1" applyBorder="1" applyAlignment="1"/>
    <xf numFmtId="0" fontId="15" fillId="3" borderId="1" xfId="0" applyFont="1" applyFill="1" applyBorder="1" applyAlignment="1">
      <alignment horizontal="right" wrapText="1"/>
    </xf>
    <xf numFmtId="169" fontId="15" fillId="3" borderId="1" xfId="0" applyNumberFormat="1" applyFont="1" applyFill="1" applyBorder="1" applyAlignment="1">
      <alignment horizontal="right" wrapText="1"/>
    </xf>
    <xf numFmtId="169" fontId="15" fillId="2" borderId="1" xfId="0" applyNumberFormat="1" applyFont="1" applyFill="1" applyBorder="1" applyAlignment="1" applyProtection="1">
      <alignment wrapText="1"/>
      <protection locked="0"/>
    </xf>
    <xf numFmtId="169" fontId="30" fillId="0" borderId="1" xfId="0" applyNumberFormat="1" applyFont="1" applyBorder="1" applyAlignment="1">
      <alignment wrapText="1"/>
    </xf>
    <xf numFmtId="169" fontId="15" fillId="0" borderId="1" xfId="0" applyNumberFormat="1" applyFont="1" applyBorder="1" applyAlignment="1">
      <alignment horizontal="center"/>
    </xf>
    <xf numFmtId="169" fontId="15" fillId="3" borderId="1" xfId="0" applyNumberFormat="1" applyFont="1" applyFill="1" applyBorder="1" applyAlignment="1"/>
    <xf numFmtId="169" fontId="15" fillId="0" borderId="2" xfId="0" applyNumberFormat="1" applyFont="1" applyBorder="1" applyAlignment="1"/>
    <xf numFmtId="169" fontId="15" fillId="2" borderId="1" xfId="0" applyNumberFormat="1" applyFont="1" applyFill="1" applyBorder="1" applyAlignment="1"/>
    <xf numFmtId="0" fontId="44" fillId="0" borderId="1" xfId="0" applyFont="1" applyBorder="1" applyAlignment="1">
      <alignment horizontal="center" vertical="center" wrapText="1"/>
    </xf>
    <xf numFmtId="0" fontId="44" fillId="0" borderId="1" xfId="0" applyFont="1" applyFill="1" applyBorder="1" applyAlignment="1">
      <alignment horizontal="center" vertical="center" wrapText="1"/>
    </xf>
    <xf numFmtId="0" fontId="44" fillId="0" borderId="1" xfId="0" applyFont="1" applyBorder="1" applyAlignment="1">
      <alignment horizontal="center" vertical="center"/>
    </xf>
    <xf numFmtId="0" fontId="44" fillId="2" borderId="1" xfId="0" applyFont="1" applyFill="1" applyBorder="1" applyAlignment="1" applyProtection="1">
      <alignment horizontal="center" vertical="center" wrapText="1"/>
      <protection locked="0"/>
    </xf>
    <xf numFmtId="0" fontId="46" fillId="0" borderId="0" xfId="0" applyFont="1" applyAlignment="1">
      <alignment horizontal="center" vertical="center"/>
    </xf>
    <xf numFmtId="0" fontId="25" fillId="3" borderId="1" xfId="0" applyFont="1" applyFill="1" applyBorder="1" applyAlignment="1">
      <alignment horizontal="left" vertical="center" wrapText="1"/>
    </xf>
    <xf numFmtId="166" fontId="15" fillId="3" borderId="1" xfId="0" applyNumberFormat="1" applyFont="1" applyFill="1" applyBorder="1" applyAlignment="1">
      <alignment wrapText="1"/>
    </xf>
    <xf numFmtId="169" fontId="15" fillId="3" borderId="1" xfId="0" applyNumberFormat="1" applyFont="1" applyFill="1" applyBorder="1" applyAlignment="1">
      <alignment wrapText="1"/>
    </xf>
    <xf numFmtId="0" fontId="15" fillId="0" borderId="1" xfId="0" applyFont="1" applyFill="1" applyBorder="1" applyAlignment="1">
      <alignment wrapText="1"/>
    </xf>
    <xf numFmtId="9" fontId="15" fillId="0" borderId="1" xfId="0" applyNumberFormat="1" applyFont="1" applyFill="1" applyBorder="1" applyAlignment="1">
      <alignment wrapText="1"/>
    </xf>
    <xf numFmtId="49" fontId="15" fillId="0" borderId="1" xfId="0" applyNumberFormat="1" applyFont="1" applyFill="1" applyBorder="1" applyAlignment="1">
      <alignment wrapText="1"/>
    </xf>
    <xf numFmtId="0" fontId="21" fillId="0" borderId="1" xfId="0" applyFont="1" applyFill="1" applyBorder="1" applyAlignment="1">
      <alignment wrapText="1"/>
    </xf>
    <xf numFmtId="169" fontId="15" fillId="0" borderId="1" xfId="0" applyNumberFormat="1" applyFont="1" applyFill="1" applyBorder="1" applyAlignment="1"/>
    <xf numFmtId="169" fontId="15" fillId="0" borderId="1" xfId="0" applyNumberFormat="1" applyFont="1" applyFill="1" applyBorder="1" applyAlignment="1">
      <alignment wrapText="1"/>
    </xf>
    <xf numFmtId="0" fontId="16" fillId="0" borderId="1" xfId="0" applyFont="1" applyBorder="1" applyAlignment="1">
      <alignment wrapText="1"/>
    </xf>
    <xf numFmtId="0" fontId="16" fillId="0" borderId="1" xfId="0" applyFont="1" applyFill="1" applyBorder="1" applyAlignment="1">
      <alignment wrapText="1"/>
    </xf>
    <xf numFmtId="9" fontId="16" fillId="0" borderId="1" xfId="0" applyNumberFormat="1" applyFont="1" applyFill="1" applyBorder="1" applyAlignment="1">
      <alignment wrapText="1"/>
    </xf>
    <xf numFmtId="49" fontId="16" fillId="0" borderId="1" xfId="0" applyNumberFormat="1" applyFont="1" applyBorder="1" applyAlignment="1">
      <alignment wrapText="1"/>
    </xf>
    <xf numFmtId="49" fontId="16" fillId="0" borderId="1" xfId="0" applyNumberFormat="1" applyFont="1" applyFill="1" applyBorder="1" applyAlignment="1">
      <alignment wrapText="1"/>
    </xf>
    <xf numFmtId="9" fontId="16" fillId="0" borderId="1" xfId="0" applyNumberFormat="1" applyFont="1" applyBorder="1" applyAlignment="1">
      <alignment wrapText="1"/>
    </xf>
    <xf numFmtId="0" fontId="24" fillId="0" borderId="1" xfId="0" applyFont="1" applyBorder="1" applyAlignment="1">
      <alignment wrapText="1"/>
    </xf>
    <xf numFmtId="169" fontId="16" fillId="0" borderId="1" xfId="0" applyNumberFormat="1" applyFont="1" applyBorder="1" applyAlignment="1">
      <alignment wrapText="1"/>
    </xf>
    <xf numFmtId="169" fontId="15" fillId="0" borderId="0" xfId="0" applyNumberFormat="1" applyFont="1" applyBorder="1" applyAlignment="1"/>
    <xf numFmtId="9" fontId="30" fillId="0" borderId="1" xfId="0" applyNumberFormat="1" applyFont="1" applyBorder="1" applyAlignment="1"/>
    <xf numFmtId="49" fontId="30" fillId="0" borderId="1" xfId="0" applyNumberFormat="1" applyFont="1" applyBorder="1" applyAlignment="1"/>
    <xf numFmtId="164" fontId="30" fillId="0" borderId="1" xfId="0" applyNumberFormat="1" applyFont="1" applyBorder="1" applyAlignment="1"/>
    <xf numFmtId="10" fontId="30" fillId="0" borderId="1" xfId="0" applyNumberFormat="1" applyFont="1" applyBorder="1" applyAlignment="1"/>
    <xf numFmtId="10" fontId="15" fillId="0" borderId="1" xfId="0" applyNumberFormat="1" applyFont="1" applyBorder="1" applyAlignment="1"/>
    <xf numFmtId="0" fontId="31" fillId="0" borderId="1" xfId="0" applyFont="1" applyBorder="1" applyAlignment="1"/>
    <xf numFmtId="9" fontId="15" fillId="3" borderId="1" xfId="0" applyNumberFormat="1" applyFont="1" applyFill="1" applyBorder="1" applyAlignment="1">
      <alignment wrapText="1"/>
    </xf>
    <xf numFmtId="0" fontId="30" fillId="3" borderId="1" xfId="0" applyFont="1" applyFill="1" applyBorder="1" applyAlignment="1"/>
    <xf numFmtId="169" fontId="30" fillId="0" borderId="1" xfId="0" applyNumberFormat="1" applyFont="1" applyBorder="1" applyAlignment="1"/>
    <xf numFmtId="169" fontId="30" fillId="2" borderId="1" xfId="0" applyNumberFormat="1" applyFont="1" applyFill="1" applyBorder="1" applyAlignment="1" applyProtection="1">
      <alignment wrapText="1"/>
      <protection locked="0"/>
    </xf>
    <xf numFmtId="169" fontId="30" fillId="3" borderId="1" xfId="0" applyNumberFormat="1" applyFont="1" applyFill="1" applyBorder="1" applyAlignment="1"/>
    <xf numFmtId="169" fontId="31" fillId="0" borderId="1" xfId="0" applyNumberFormat="1" applyFont="1" applyBorder="1" applyAlignment="1"/>
    <xf numFmtId="0" fontId="30" fillId="3" borderId="1" xfId="0" applyFont="1" applyFill="1" applyBorder="1" applyAlignment="1">
      <alignment horizontal="right"/>
    </xf>
    <xf numFmtId="49" fontId="30" fillId="3" borderId="1" xfId="0" applyNumberFormat="1" applyFont="1" applyFill="1" applyBorder="1" applyAlignment="1">
      <alignment horizontal="right"/>
    </xf>
    <xf numFmtId="164" fontId="30" fillId="3" borderId="1" xfId="0" applyNumberFormat="1" applyFont="1" applyFill="1" applyBorder="1" applyAlignment="1">
      <alignment horizontal="right"/>
    </xf>
    <xf numFmtId="9" fontId="30" fillId="3" borderId="1" xfId="0" applyNumberFormat="1" applyFont="1" applyFill="1" applyBorder="1" applyAlignment="1">
      <alignment horizontal="right"/>
    </xf>
    <xf numFmtId="9" fontId="30" fillId="0" borderId="1" xfId="0" applyNumberFormat="1" applyFont="1" applyBorder="1" applyAlignment="1">
      <alignment horizontal="right"/>
    </xf>
    <xf numFmtId="49" fontId="30" fillId="0" borderId="1" xfId="0" applyNumberFormat="1" applyFont="1" applyBorder="1" applyAlignment="1">
      <alignment horizontal="right"/>
    </xf>
    <xf numFmtId="164" fontId="30" fillId="0" borderId="1" xfId="0" applyNumberFormat="1" applyFont="1" applyBorder="1" applyAlignment="1">
      <alignment horizontal="right"/>
    </xf>
    <xf numFmtId="10" fontId="30" fillId="0" borderId="1" xfId="0" applyNumberFormat="1" applyFont="1" applyBorder="1" applyAlignment="1">
      <alignment horizontal="right"/>
    </xf>
    <xf numFmtId="169" fontId="30" fillId="3" borderId="1" xfId="0" applyNumberFormat="1" applyFont="1" applyFill="1" applyBorder="1" applyAlignment="1">
      <alignment horizontal="right"/>
    </xf>
    <xf numFmtId="169" fontId="30" fillId="0" borderId="1" xfId="0" applyNumberFormat="1" applyFont="1" applyBorder="1" applyAlignment="1">
      <alignment horizontal="right"/>
    </xf>
    <xf numFmtId="169" fontId="30" fillId="2" borderId="1" xfId="0" applyNumberFormat="1" applyFont="1" applyFill="1" applyBorder="1" applyAlignment="1" applyProtection="1">
      <alignment horizontal="right" wrapText="1"/>
      <protection locked="0"/>
    </xf>
    <xf numFmtId="0" fontId="15" fillId="3" borderId="1" xfId="0" applyFont="1" applyFill="1" applyBorder="1" applyAlignment="1">
      <alignment horizontal="right"/>
    </xf>
    <xf numFmtId="49" fontId="15" fillId="3" borderId="1" xfId="0" applyNumberFormat="1" applyFont="1" applyFill="1" applyBorder="1" applyAlignment="1">
      <alignment horizontal="right"/>
    </xf>
    <xf numFmtId="168" fontId="15" fillId="3" borderId="1" xfId="0" applyNumberFormat="1" applyFont="1" applyFill="1" applyBorder="1" applyAlignment="1">
      <alignment horizontal="right"/>
    </xf>
    <xf numFmtId="165" fontId="15" fillId="3" borderId="1" xfId="0" applyNumberFormat="1" applyFont="1" applyFill="1" applyBorder="1" applyAlignment="1">
      <alignment horizontal="right"/>
    </xf>
    <xf numFmtId="9" fontId="15" fillId="3" borderId="1" xfId="0" applyNumberFormat="1" applyFont="1" applyFill="1" applyBorder="1" applyAlignment="1">
      <alignment horizontal="right"/>
    </xf>
    <xf numFmtId="165" fontId="30" fillId="0" borderId="1" xfId="0" applyNumberFormat="1" applyFont="1" applyBorder="1" applyAlignment="1">
      <alignment horizontal="right"/>
    </xf>
    <xf numFmtId="169" fontId="15" fillId="3" borderId="1" xfId="0" applyNumberFormat="1" applyFont="1" applyFill="1" applyBorder="1" applyAlignment="1">
      <alignment horizontal="right"/>
    </xf>
    <xf numFmtId="166" fontId="15" fillId="3" borderId="1" xfId="0" applyNumberFormat="1" applyFont="1" applyFill="1" applyBorder="1" applyAlignment="1">
      <alignment horizontal="right"/>
    </xf>
    <xf numFmtId="164" fontId="15" fillId="0" borderId="1" xfId="0" applyNumberFormat="1" applyFont="1" applyBorder="1" applyAlignment="1">
      <alignment horizontal="right"/>
    </xf>
    <xf numFmtId="10" fontId="15" fillId="0" borderId="1" xfId="0" applyNumberFormat="1" applyFont="1" applyBorder="1" applyAlignment="1">
      <alignment horizontal="right"/>
    </xf>
    <xf numFmtId="0" fontId="31" fillId="0" borderId="1" xfId="0" applyFont="1" applyBorder="1" applyAlignment="1">
      <alignment horizontal="right"/>
    </xf>
    <xf numFmtId="169" fontId="15" fillId="2" borderId="1" xfId="0" applyNumberFormat="1" applyFont="1" applyFill="1" applyBorder="1" applyAlignment="1" applyProtection="1">
      <alignment horizontal="right" wrapText="1"/>
      <protection locked="0"/>
    </xf>
    <xf numFmtId="169" fontId="15" fillId="0" borderId="0" xfId="0" applyNumberFormat="1" applyFont="1" applyBorder="1" applyAlignment="1">
      <alignment horizontal="right"/>
    </xf>
    <xf numFmtId="166" fontId="15" fillId="0" borderId="1" xfId="0" applyNumberFormat="1" applyFont="1" applyBorder="1" applyAlignment="1"/>
    <xf numFmtId="169" fontId="15" fillId="2" borderId="2" xfId="0" applyNumberFormat="1" applyFont="1" applyFill="1" applyBorder="1" applyAlignment="1" applyProtection="1">
      <alignment wrapText="1"/>
      <protection locked="0"/>
    </xf>
    <xf numFmtId="169" fontId="15" fillId="2" borderId="2" xfId="0" applyNumberFormat="1" applyFont="1" applyFill="1" applyBorder="1" applyAlignment="1"/>
    <xf numFmtId="0" fontId="25" fillId="0" borderId="1" xfId="0" applyFont="1" applyBorder="1" applyAlignment="1">
      <alignment horizontal="right"/>
    </xf>
    <xf numFmtId="9" fontId="25" fillId="0" borderId="1" xfId="0" applyNumberFormat="1" applyFont="1" applyBorder="1" applyAlignment="1">
      <alignment horizontal="right"/>
    </xf>
    <xf numFmtId="164" fontId="25" fillId="0" borderId="1" xfId="0" applyNumberFormat="1" applyFont="1" applyBorder="1" applyAlignment="1">
      <alignment horizontal="right"/>
    </xf>
    <xf numFmtId="2" fontId="25" fillId="3" borderId="1" xfId="0" applyNumberFormat="1" applyFont="1" applyFill="1" applyBorder="1" applyAlignment="1">
      <alignment horizontal="right"/>
    </xf>
    <xf numFmtId="9" fontId="15" fillId="0" borderId="1" xfId="0" applyNumberFormat="1" applyFont="1" applyFill="1" applyBorder="1" applyAlignment="1">
      <alignment horizontal="right"/>
    </xf>
    <xf numFmtId="169" fontId="25" fillId="0" borderId="1" xfId="0" applyNumberFormat="1" applyFont="1" applyBorder="1" applyAlignment="1">
      <alignment horizontal="right"/>
    </xf>
    <xf numFmtId="169" fontId="15" fillId="0" borderId="1" xfId="0" applyNumberFormat="1" applyFont="1" applyFill="1" applyBorder="1" applyAlignment="1">
      <alignment horizontal="right"/>
    </xf>
    <xf numFmtId="169" fontId="25" fillId="2" borderId="1" xfId="0" applyNumberFormat="1" applyFont="1" applyFill="1" applyBorder="1" applyAlignment="1" applyProtection="1">
      <alignment horizontal="right" wrapText="1"/>
      <protection locked="0"/>
    </xf>
    <xf numFmtId="169" fontId="25" fillId="3" borderId="1" xfId="0" applyNumberFormat="1" applyFont="1" applyFill="1" applyBorder="1" applyAlignment="1">
      <alignment horizontal="right"/>
    </xf>
    <xf numFmtId="169" fontId="15" fillId="3" borderId="1" xfId="0" applyNumberFormat="1" applyFont="1" applyFill="1" applyBorder="1" applyAlignment="1" applyProtection="1">
      <alignment horizontal="right" wrapText="1"/>
      <protection locked="0"/>
    </xf>
    <xf numFmtId="169" fontId="15" fillId="3" borderId="0" xfId="0" applyNumberFormat="1" applyFont="1" applyFill="1" applyAlignment="1">
      <alignment horizontal="right"/>
    </xf>
    <xf numFmtId="169" fontId="15" fillId="2" borderId="1" xfId="0" applyNumberFormat="1" applyFont="1" applyFill="1" applyBorder="1" applyAlignment="1">
      <alignment horizontal="right"/>
    </xf>
    <xf numFmtId="0" fontId="29" fillId="0" borderId="0" xfId="0" applyFont="1" applyBorder="1" applyAlignment="1">
      <alignment horizontal="left" vertical="top"/>
    </xf>
    <xf numFmtId="0" fontId="21" fillId="0" borderId="0" xfId="0" applyFont="1" applyFill="1" applyAlignment="1">
      <alignment horizontal="left" vertical="top" wrapText="1"/>
    </xf>
    <xf numFmtId="0" fontId="21" fillId="0" borderId="0" xfId="0" applyFont="1" applyFill="1" applyAlignment="1">
      <alignment horizontal="left" vertical="center" wrapText="1"/>
    </xf>
    <xf numFmtId="0" fontId="14" fillId="0" borderId="0" xfId="0" applyFont="1" applyAlignment="1">
      <alignment horizontal="center" vertical="center"/>
    </xf>
    <xf numFmtId="0" fontId="18" fillId="0" borderId="0" xfId="0" applyFont="1" applyAlignment="1">
      <alignment horizontal="center" vertical="center" wrapText="1"/>
    </xf>
    <xf numFmtId="0" fontId="22" fillId="0" borderId="0" xfId="0" applyFont="1" applyAlignment="1">
      <alignment horizontal="center"/>
    </xf>
    <xf numFmtId="0" fontId="16" fillId="0" borderId="0" xfId="0" applyFont="1" applyBorder="1" applyAlignment="1">
      <alignment horizontal="center" vertical="top" wrapText="1"/>
    </xf>
    <xf numFmtId="0" fontId="29" fillId="0" borderId="15" xfId="0" applyFont="1" applyBorder="1" applyAlignment="1">
      <alignment horizontal="left" vertical="top"/>
    </xf>
    <xf numFmtId="0" fontId="15" fillId="0" borderId="15" xfId="0" applyFont="1" applyBorder="1" applyAlignment="1">
      <alignment horizontal="left" vertical="top"/>
    </xf>
    <xf numFmtId="0" fontId="15" fillId="0" borderId="1" xfId="0" applyFont="1" applyBorder="1" applyAlignment="1">
      <alignment horizontal="center" vertical="center" wrapText="1"/>
    </xf>
    <xf numFmtId="0" fontId="17" fillId="0" borderId="0" xfId="0" applyFont="1" applyBorder="1" applyAlignment="1">
      <alignment horizontal="center" vertical="top" wrapText="1"/>
    </xf>
    <xf numFmtId="0" fontId="22" fillId="0" borderId="12" xfId="0" applyFont="1" applyBorder="1" applyAlignment="1">
      <alignment horizontal="center"/>
    </xf>
    <xf numFmtId="0" fontId="21" fillId="0" borderId="1" xfId="0" applyFont="1" applyBorder="1" applyAlignment="1">
      <alignment horizontal="center" vertical="center"/>
    </xf>
    <xf numFmtId="0" fontId="21" fillId="0" borderId="0" xfId="0" applyFont="1" applyFill="1" applyBorder="1" applyAlignment="1">
      <alignment horizontal="center" vertical="center"/>
    </xf>
    <xf numFmtId="0" fontId="43" fillId="0" borderId="0" xfId="0" applyFont="1" applyFill="1" applyAlignment="1">
      <alignment horizontal="right" vertical="center" wrapText="1"/>
    </xf>
    <xf numFmtId="0" fontId="21" fillId="0" borderId="16" xfId="0" applyFont="1" applyFill="1" applyBorder="1" applyAlignment="1">
      <alignment horizontal="center" wrapText="1"/>
    </xf>
    <xf numFmtId="0" fontId="21" fillId="0" borderId="16" xfId="0" applyFont="1" applyFill="1" applyBorder="1" applyAlignment="1">
      <alignment horizontal="center"/>
    </xf>
    <xf numFmtId="0" fontId="21" fillId="0" borderId="0" xfId="0" applyFont="1" applyFill="1" applyAlignment="1">
      <alignment horizontal="center" vertical="top" wrapText="1"/>
    </xf>
    <xf numFmtId="0" fontId="21" fillId="0" borderId="0" xfId="0" applyFont="1" applyFill="1" applyBorder="1" applyAlignment="1">
      <alignment horizontal="center" vertical="top" wrapText="1"/>
    </xf>
    <xf numFmtId="0" fontId="21" fillId="0" borderId="0" xfId="0" applyFont="1" applyFill="1" applyAlignment="1">
      <alignment horizontal="center" vertical="center"/>
    </xf>
    <xf numFmtId="0" fontId="41" fillId="0" borderId="16" xfId="0" applyFont="1" applyFill="1" applyBorder="1" applyAlignment="1">
      <alignment horizontal="center" wrapText="1"/>
    </xf>
    <xf numFmtId="0" fontId="15" fillId="0" borderId="1" xfId="0" applyFont="1" applyBorder="1" applyAlignment="1">
      <alignment horizontal="center" vertical="center" textRotation="90" wrapText="1"/>
    </xf>
    <xf numFmtId="0" fontId="15" fillId="0" borderId="6"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8" xfId="0" applyFont="1" applyBorder="1" applyAlignment="1">
      <alignment horizontal="center" vertical="center" wrapText="1"/>
    </xf>
    <xf numFmtId="0" fontId="15" fillId="2" borderId="1" xfId="0" applyFont="1" applyFill="1" applyBorder="1" applyAlignment="1" applyProtection="1">
      <alignment horizontal="center" vertical="center" wrapText="1"/>
      <protection locked="0"/>
    </xf>
    <xf numFmtId="0" fontId="21" fillId="0" borderId="1" xfId="0" applyFont="1" applyBorder="1" applyAlignment="1">
      <alignment horizontal="center" vertical="center" wrapText="1"/>
    </xf>
    <xf numFmtId="0" fontId="19" fillId="0" borderId="0" xfId="0" applyFont="1" applyAlignment="1">
      <alignment horizontal="center" vertical="center"/>
    </xf>
    <xf numFmtId="0" fontId="18" fillId="0" borderId="0" xfId="0" applyFont="1" applyAlignment="1">
      <alignment horizontal="center" vertical="top" wrapText="1"/>
    </xf>
    <xf numFmtId="0" fontId="15" fillId="0" borderId="1"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25" fillId="0" borderId="1" xfId="0" applyFont="1" applyBorder="1" applyAlignment="1">
      <alignment horizontal="center" vertical="top" wrapText="1"/>
    </xf>
    <xf numFmtId="0" fontId="15" fillId="0" borderId="2" xfId="0" applyFont="1" applyBorder="1" applyAlignment="1">
      <alignment horizontal="center" vertical="center" textRotation="90" wrapText="1"/>
    </xf>
    <xf numFmtId="0" fontId="0" fillId="0" borderId="8" xfId="0" applyFont="1" applyBorder="1"/>
    <xf numFmtId="0" fontId="0" fillId="0" borderId="3" xfId="0" applyFont="1" applyBorder="1"/>
    <xf numFmtId="0" fontId="18" fillId="0" borderId="0" xfId="0" applyFont="1" applyAlignment="1">
      <alignment horizontal="center" vertical="center"/>
    </xf>
    <xf numFmtId="0" fontId="14" fillId="0" borderId="0" xfId="0" applyFont="1" applyAlignment="1">
      <alignment horizontal="center"/>
    </xf>
    <xf numFmtId="0" fontId="19" fillId="0" borderId="0" xfId="0" applyFont="1" applyBorder="1" applyAlignment="1">
      <alignment horizontal="center"/>
    </xf>
    <xf numFmtId="0" fontId="21" fillId="0" borderId="1"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15" fillId="0" borderId="1" xfId="0" applyFont="1" applyFill="1" applyBorder="1" applyAlignment="1">
      <alignment horizontal="center" vertical="center" textRotation="90" wrapText="1"/>
    </xf>
    <xf numFmtId="0" fontId="15" fillId="0" borderId="4"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1" xfId="0" applyFont="1" applyFill="1" applyBorder="1" applyAlignment="1" applyProtection="1">
      <alignment horizontal="center" vertical="center" wrapText="1"/>
      <protection locked="0"/>
    </xf>
    <xf numFmtId="0" fontId="15" fillId="0" borderId="1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43" fillId="0" borderId="0" xfId="0" applyFont="1" applyFill="1" applyAlignment="1">
      <alignment horizontal="left" vertical="center" wrapText="1"/>
    </xf>
    <xf numFmtId="0" fontId="43" fillId="0" borderId="0" xfId="0" applyFont="1" applyFill="1" applyAlignment="1">
      <alignment horizontal="left" vertical="top" wrapText="1"/>
    </xf>
    <xf numFmtId="0" fontId="22" fillId="0" borderId="0" xfId="0" applyFont="1" applyAlignment="1">
      <alignment horizontal="center" wrapText="1"/>
    </xf>
    <xf numFmtId="0" fontId="22" fillId="0" borderId="0" xfId="0" applyFont="1" applyFill="1" applyAlignment="1">
      <alignment horizontal="left" vertical="top" wrapText="1"/>
    </xf>
    <xf numFmtId="0" fontId="35" fillId="0" borderId="0" xfId="0" applyFont="1" applyFill="1" applyAlignment="1">
      <alignment horizontal="left" vertical="center" wrapText="1"/>
    </xf>
    <xf numFmtId="0" fontId="22" fillId="0" borderId="0" xfId="0" applyFont="1" applyAlignment="1">
      <alignment horizontal="center" vertical="top" wrapText="1"/>
    </xf>
    <xf numFmtId="0" fontId="15" fillId="0" borderId="0" xfId="0" applyFont="1" applyBorder="1" applyAlignment="1">
      <alignment horizontal="center"/>
    </xf>
    <xf numFmtId="0" fontId="32" fillId="0" borderId="0" xfId="0" applyFont="1" applyAlignment="1">
      <alignment horizontal="center" vertical="center" wrapText="1"/>
    </xf>
    <xf numFmtId="0" fontId="14" fillId="0" borderId="0" xfId="0" applyFont="1" applyAlignment="1">
      <alignment horizontal="center" vertical="center" wrapText="1"/>
    </xf>
    <xf numFmtId="0" fontId="18" fillId="0" borderId="0" xfId="0" applyFont="1" applyAlignment="1">
      <alignment horizontal="center" vertical="top"/>
    </xf>
    <xf numFmtId="0" fontId="22" fillId="0" borderId="15" xfId="0" applyFont="1" applyFill="1" applyBorder="1" applyAlignment="1">
      <alignment horizontal="left" vertical="center" wrapText="1"/>
    </xf>
    <xf numFmtId="0" fontId="21" fillId="0" borderId="2"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15" xfId="0" applyFont="1" applyFill="1" applyBorder="1" applyAlignment="1">
      <alignment horizontal="center" vertical="top"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3" xfId="0" applyFont="1" applyBorder="1" applyAlignment="1">
      <alignment horizontal="center" vertical="center" wrapText="1"/>
    </xf>
    <xf numFmtId="0" fontId="15" fillId="0" borderId="0" xfId="0" applyFont="1" applyBorder="1" applyAlignment="1">
      <alignment horizontal="left" vertical="top"/>
    </xf>
    <xf numFmtId="0" fontId="15" fillId="0" borderId="8" xfId="0" applyFont="1" applyBorder="1" applyAlignment="1">
      <alignment horizontal="center" vertical="center" textRotation="90" wrapText="1"/>
    </xf>
    <xf numFmtId="0" fontId="15" fillId="0" borderId="3"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16" fillId="2" borderId="1" xfId="0" applyFont="1" applyFill="1" applyBorder="1" applyAlignment="1" applyProtection="1">
      <alignment horizontal="center" vertical="center" wrapText="1"/>
      <protection locked="0"/>
    </xf>
    <xf numFmtId="0" fontId="19" fillId="2" borderId="1" xfId="0" applyFont="1" applyFill="1" applyBorder="1" applyAlignment="1" applyProtection="1">
      <alignment horizontal="center" vertical="center" wrapText="1"/>
      <protection locked="0"/>
    </xf>
    <xf numFmtId="0" fontId="21" fillId="2" borderId="0" xfId="0" applyFont="1" applyFill="1" applyAlignment="1">
      <alignment horizontal="left" vertical="center" wrapText="1"/>
    </xf>
    <xf numFmtId="0" fontId="22" fillId="0" borderId="0" xfId="0" applyFont="1" applyFill="1" applyAlignment="1">
      <alignment horizontal="left" vertical="center" wrapText="1"/>
    </xf>
  </cellXfs>
  <cellStyles count="2">
    <cellStyle name="Normal" xfId="0" builtinId="0"/>
    <cellStyle name="Normal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BJ48"/>
  <sheetViews>
    <sheetView showZeros="0" tabSelected="1" view="pageBreakPreview" zoomScale="60" workbookViewId="0">
      <pane xSplit="2" ySplit="13" topLeftCell="L14" activePane="bottomRight" state="frozen"/>
      <selection pane="topRight" activeCell="C1" sqref="C1"/>
      <selection pane="bottomLeft" activeCell="A14" sqref="A14"/>
      <selection pane="bottomRight" activeCell="AX16" sqref="AX16"/>
    </sheetView>
  </sheetViews>
  <sheetFormatPr defaultColWidth="8.85546875" defaultRowHeight="15" x14ac:dyDescent="0.25"/>
  <cols>
    <col min="1" max="1" width="5.28515625" style="21" customWidth="1"/>
    <col min="2" max="2" width="26.42578125" style="21" customWidth="1"/>
    <col min="3" max="3" width="16.28515625" style="21" customWidth="1"/>
    <col min="4" max="4" width="11.5703125" style="21" customWidth="1"/>
    <col min="5" max="5" width="11" style="21" customWidth="1"/>
    <col min="6" max="6" width="6" style="21" customWidth="1"/>
    <col min="7" max="8" width="5.5703125" style="21" customWidth="1"/>
    <col min="9" max="9" width="8.28515625" style="21" customWidth="1"/>
    <col min="10" max="10" width="9.5703125" style="21" customWidth="1"/>
    <col min="11" max="11" width="6.28515625" style="21" customWidth="1"/>
    <col min="12" max="12" width="7.7109375" style="21" customWidth="1"/>
    <col min="13" max="13" width="8.85546875" style="21"/>
    <col min="14" max="14" width="5.7109375" style="21" customWidth="1"/>
    <col min="15" max="15" width="7.7109375" style="21" customWidth="1"/>
    <col min="16" max="16" width="8.5703125" style="21" customWidth="1"/>
    <col min="17" max="17" width="8.140625" style="21" customWidth="1"/>
    <col min="18" max="18" width="7.7109375" style="21" customWidth="1"/>
    <col min="19" max="19" width="7.85546875" style="21" customWidth="1"/>
    <col min="20" max="20" width="8.5703125" style="21" customWidth="1"/>
    <col min="21" max="21" width="8.28515625" style="21" customWidth="1"/>
    <col min="22" max="22" width="6.5703125" style="21" customWidth="1"/>
    <col min="23" max="23" width="7.28515625" style="21" customWidth="1"/>
    <col min="24" max="24" width="10.7109375" style="21" customWidth="1"/>
    <col min="25" max="25" width="9.140625" style="21" customWidth="1"/>
    <col min="26" max="26" width="9.28515625" style="21" customWidth="1"/>
    <col min="27" max="27" width="9.7109375" style="21" customWidth="1"/>
    <col min="28" max="28" width="9.28515625" style="21" customWidth="1"/>
    <col min="29" max="29" width="11.28515625" style="21" customWidth="1"/>
    <col min="30" max="30" width="13" style="21" customWidth="1"/>
    <col min="31" max="31" width="11.7109375" style="21" customWidth="1"/>
    <col min="32" max="32" width="11" style="21" customWidth="1"/>
    <col min="33" max="33" width="7.5703125" style="21" customWidth="1"/>
    <col min="34" max="34" width="5.140625" style="21" customWidth="1"/>
    <col min="35" max="35" width="7.28515625" style="21" customWidth="1"/>
    <col min="36" max="36" width="8.28515625" style="21" customWidth="1"/>
    <col min="37" max="37" width="9.28515625" style="21" customWidth="1"/>
    <col min="38" max="38" width="8.28515625" style="21" customWidth="1"/>
    <col min="39" max="39" width="8" style="21" customWidth="1"/>
    <col min="40" max="40" width="5.140625" style="21" customWidth="1"/>
    <col min="41" max="41" width="6.85546875" style="21" customWidth="1"/>
    <col min="42" max="42" width="12.42578125" style="21" customWidth="1"/>
    <col min="43" max="43" width="12.28515625" style="21" customWidth="1"/>
    <col min="44" max="44" width="12.5703125" style="21" customWidth="1"/>
    <col min="45" max="45" width="12.85546875" style="21" customWidth="1"/>
    <col min="46" max="46" width="12.7109375" style="21" customWidth="1"/>
    <col min="47" max="48" width="10.5703125" style="21" customWidth="1"/>
    <col min="49" max="49" width="13" style="21" customWidth="1"/>
    <col min="50" max="51" width="11.28515625" style="21" customWidth="1"/>
    <col min="52" max="52" width="11.42578125" style="21" customWidth="1"/>
    <col min="53" max="53" width="10.85546875" style="21" customWidth="1"/>
    <col min="54" max="16384" width="8.85546875" style="8"/>
  </cols>
  <sheetData>
    <row r="1" spans="1:62" s="173" customFormat="1" ht="22.5" x14ac:dyDescent="0.25">
      <c r="A1" s="25"/>
      <c r="B1" s="26"/>
      <c r="C1" s="26"/>
      <c r="D1" s="26"/>
      <c r="E1" s="26"/>
      <c r="F1" s="287" t="s">
        <v>543</v>
      </c>
      <c r="G1" s="287"/>
      <c r="H1" s="287"/>
      <c r="I1" s="287"/>
      <c r="J1" s="287"/>
      <c r="K1" s="287"/>
      <c r="L1" s="287"/>
      <c r="M1" s="287"/>
      <c r="N1" s="287"/>
      <c r="O1" s="287"/>
      <c r="P1" s="287"/>
      <c r="Q1" s="287"/>
      <c r="R1" s="287"/>
      <c r="S1" s="287"/>
      <c r="T1" s="287"/>
      <c r="U1" s="287"/>
      <c r="V1" s="287"/>
      <c r="W1" s="287"/>
      <c r="X1" s="287"/>
      <c r="Y1" s="287"/>
      <c r="Z1" s="287"/>
      <c r="AA1" s="287"/>
      <c r="AB1" s="28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10"/>
      <c r="BC1" s="10"/>
      <c r="BD1" s="10"/>
      <c r="BE1" s="10"/>
      <c r="BF1" s="10"/>
      <c r="BG1" s="10"/>
      <c r="BH1" s="10"/>
      <c r="BI1" s="10"/>
      <c r="BJ1" s="10"/>
    </row>
    <row r="2" spans="1:62" s="173" customFormat="1" ht="17.45" customHeight="1" x14ac:dyDescent="0.25">
      <c r="A2" s="25"/>
      <c r="B2" s="28"/>
      <c r="C2" s="28"/>
      <c r="D2" s="28"/>
      <c r="E2" s="28"/>
      <c r="F2" s="288" t="s">
        <v>130</v>
      </c>
      <c r="G2" s="288"/>
      <c r="H2" s="288"/>
      <c r="I2" s="288"/>
      <c r="J2" s="288"/>
      <c r="K2" s="288"/>
      <c r="L2" s="288"/>
      <c r="M2" s="288"/>
      <c r="N2" s="288"/>
      <c r="O2" s="288"/>
      <c r="P2" s="288"/>
      <c r="Q2" s="288"/>
      <c r="R2" s="288"/>
      <c r="S2" s="288"/>
      <c r="T2" s="288"/>
      <c r="U2" s="288"/>
      <c r="V2" s="288"/>
      <c r="W2" s="288"/>
      <c r="X2" s="288"/>
      <c r="Y2" s="288"/>
      <c r="Z2" s="288"/>
      <c r="AA2" s="294"/>
      <c r="AB2" s="294"/>
      <c r="AC2" s="294"/>
      <c r="AD2" s="294"/>
      <c r="AE2" s="294"/>
      <c r="AF2" s="294"/>
      <c r="AG2" s="294"/>
      <c r="AH2" s="294"/>
      <c r="AI2" s="294"/>
      <c r="AJ2" s="294"/>
      <c r="AK2" s="294"/>
      <c r="AL2" s="294"/>
      <c r="AM2" s="294"/>
      <c r="AN2" s="294"/>
      <c r="AO2" s="294"/>
      <c r="AP2" s="294"/>
      <c r="AQ2" s="294"/>
      <c r="AR2" s="294"/>
      <c r="AS2" s="294"/>
      <c r="AT2" s="294"/>
      <c r="AU2" s="294"/>
      <c r="AV2" s="294"/>
      <c r="AW2" s="294"/>
      <c r="AX2" s="294"/>
      <c r="AY2" s="294"/>
      <c r="AZ2" s="294"/>
      <c r="BA2" s="294"/>
      <c r="BB2" s="11"/>
      <c r="BC2" s="11"/>
      <c r="BD2" s="11"/>
      <c r="BE2" s="11"/>
      <c r="BF2" s="11"/>
      <c r="BG2" s="10"/>
      <c r="BH2" s="10"/>
      <c r="BI2" s="10"/>
      <c r="BJ2" s="10"/>
    </row>
    <row r="3" spans="1:62" s="5" customFormat="1" ht="15.75" x14ac:dyDescent="0.25">
      <c r="A3" s="21"/>
      <c r="B3" s="21"/>
      <c r="C3" s="21"/>
      <c r="D3" s="21"/>
      <c r="E3" s="21"/>
      <c r="F3" s="21"/>
      <c r="G3" s="21"/>
      <c r="H3" s="21"/>
      <c r="I3" s="29"/>
      <c r="J3" s="29"/>
      <c r="K3" s="29"/>
      <c r="L3" s="29"/>
      <c r="M3" s="29"/>
      <c r="N3" s="29"/>
      <c r="O3" s="29"/>
      <c r="P3" s="21"/>
      <c r="Q3" s="21"/>
      <c r="R3" s="21"/>
      <c r="S3" s="29"/>
      <c r="T3" s="21"/>
      <c r="U3" s="21"/>
      <c r="V3" s="20"/>
      <c r="W3" s="19"/>
      <c r="X3" s="122"/>
      <c r="Y3" s="20"/>
      <c r="Z3" s="21"/>
      <c r="AA3" s="19"/>
      <c r="AB3" s="20"/>
      <c r="AC3" s="20"/>
      <c r="AD3" s="20"/>
      <c r="AE3" s="19"/>
      <c r="AF3" s="20"/>
      <c r="AG3" s="20"/>
      <c r="AH3" s="20"/>
      <c r="AI3" s="19"/>
      <c r="AJ3" s="122"/>
      <c r="AK3" s="19"/>
      <c r="AL3" s="19"/>
      <c r="AM3" s="19"/>
      <c r="AN3" s="19"/>
      <c r="AO3" s="19"/>
      <c r="AP3" s="19"/>
      <c r="AQ3" s="19"/>
      <c r="AR3" s="20"/>
      <c r="AS3" s="20"/>
      <c r="AT3" s="20"/>
      <c r="AU3" s="19"/>
      <c r="AV3" s="19"/>
      <c r="AW3" s="19"/>
      <c r="AX3" s="20"/>
      <c r="AY3" s="19"/>
      <c r="AZ3" s="122"/>
      <c r="BA3" s="20"/>
    </row>
    <row r="4" spans="1:62" s="5" customFormat="1" ht="15.75" x14ac:dyDescent="0.25">
      <c r="A4" s="21"/>
      <c r="B4" s="289" t="s">
        <v>307</v>
      </c>
      <c r="C4" s="289"/>
      <c r="D4" s="289"/>
      <c r="E4" s="295"/>
      <c r="F4" s="295"/>
      <c r="G4" s="295"/>
      <c r="H4" s="295"/>
      <c r="I4" s="295"/>
      <c r="J4" s="75"/>
      <c r="K4" s="296" t="s">
        <v>164</v>
      </c>
      <c r="L4" s="80" t="s">
        <v>309</v>
      </c>
      <c r="M4" s="80" t="s">
        <v>310</v>
      </c>
      <c r="N4" s="80" t="s">
        <v>311</v>
      </c>
      <c r="O4" s="80" t="s">
        <v>312</v>
      </c>
      <c r="P4" s="80" t="s">
        <v>313</v>
      </c>
      <c r="Q4" s="21"/>
      <c r="R4" s="21"/>
      <c r="S4" s="29"/>
      <c r="T4" s="21"/>
      <c r="U4" s="21"/>
      <c r="V4" s="20"/>
      <c r="W4" s="19"/>
      <c r="X4" s="122"/>
      <c r="Y4" s="20"/>
      <c r="Z4" s="21"/>
      <c r="AA4" s="19"/>
      <c r="AB4" s="20"/>
      <c r="AC4" s="20"/>
      <c r="AD4" s="20"/>
      <c r="AE4" s="19"/>
      <c r="AF4" s="20"/>
      <c r="AG4" s="20"/>
      <c r="AH4" s="20"/>
      <c r="AI4" s="19"/>
      <c r="AJ4" s="122"/>
      <c r="AK4" s="19"/>
      <c r="AL4" s="19"/>
      <c r="AM4" s="19"/>
      <c r="AN4" s="19"/>
      <c r="AO4" s="19"/>
      <c r="AP4" s="19"/>
      <c r="AQ4" s="19"/>
      <c r="AR4" s="20"/>
      <c r="AS4" s="20"/>
      <c r="AT4" s="20"/>
      <c r="AU4" s="19"/>
      <c r="AV4" s="19"/>
      <c r="AW4" s="19"/>
      <c r="AX4" s="20"/>
      <c r="AY4" s="19"/>
      <c r="AZ4" s="122"/>
      <c r="BA4" s="20"/>
    </row>
    <row r="5" spans="1:62" s="5" customFormat="1" ht="18" x14ac:dyDescent="0.25">
      <c r="A5" s="41"/>
      <c r="B5" s="32"/>
      <c r="C5" s="32"/>
      <c r="D5" s="32"/>
      <c r="E5" s="32"/>
      <c r="F5" s="290"/>
      <c r="G5" s="290"/>
      <c r="H5" s="290"/>
      <c r="I5" s="290"/>
      <c r="J5" s="32"/>
      <c r="K5" s="296"/>
      <c r="L5" s="81"/>
      <c r="M5" s="81"/>
      <c r="N5" s="81"/>
      <c r="O5" s="81"/>
      <c r="P5" s="81"/>
      <c r="Q5" s="41"/>
      <c r="R5" s="41"/>
      <c r="S5" s="41"/>
      <c r="T5" s="41"/>
      <c r="U5" s="297"/>
      <c r="V5" s="297"/>
      <c r="W5" s="20"/>
      <c r="X5" s="33"/>
      <c r="Y5" s="20"/>
      <c r="Z5" s="21"/>
      <c r="AA5" s="20"/>
      <c r="AB5" s="20"/>
      <c r="AC5" s="20"/>
      <c r="AD5" s="20"/>
      <c r="AE5" s="20"/>
      <c r="AF5" s="20"/>
      <c r="AG5" s="20"/>
      <c r="AH5" s="20"/>
      <c r="AI5" s="20"/>
      <c r="AJ5" s="33"/>
      <c r="AK5" s="20"/>
      <c r="AL5" s="20"/>
      <c r="AM5" s="20"/>
      <c r="AN5" s="20"/>
      <c r="AO5" s="20"/>
      <c r="AP5" s="20"/>
      <c r="AQ5" s="20"/>
      <c r="AR5" s="20"/>
      <c r="AS5" s="20"/>
      <c r="AT5" s="20"/>
      <c r="AU5" s="20"/>
      <c r="AV5" s="20"/>
      <c r="AW5" s="20"/>
      <c r="AX5" s="20"/>
      <c r="AY5" s="20"/>
      <c r="AZ5" s="33"/>
      <c r="BA5" s="20"/>
    </row>
    <row r="6" spans="1:62" s="65" customFormat="1" x14ac:dyDescent="0.25">
      <c r="A6" s="32"/>
      <c r="B6" s="32"/>
      <c r="C6" s="32"/>
      <c r="D6" s="32"/>
      <c r="E6" s="32"/>
      <c r="F6" s="32"/>
      <c r="G6" s="32"/>
      <c r="H6" s="32"/>
      <c r="I6" s="32"/>
      <c r="J6" s="32"/>
      <c r="K6" s="32"/>
      <c r="L6" s="32"/>
      <c r="M6" s="32"/>
      <c r="N6" s="32"/>
      <c r="O6" s="34"/>
      <c r="P6" s="34"/>
      <c r="Q6" s="34"/>
      <c r="R6" s="34"/>
      <c r="S6" s="34"/>
      <c r="T6" s="32"/>
      <c r="U6" s="32"/>
      <c r="V6" s="34"/>
      <c r="W6" s="34"/>
      <c r="X6" s="34"/>
      <c r="Y6" s="34"/>
      <c r="Z6" s="34"/>
      <c r="AA6" s="34"/>
      <c r="AB6" s="34"/>
      <c r="AC6" s="34"/>
      <c r="AD6" s="34"/>
      <c r="AE6" s="34"/>
      <c r="AF6" s="34"/>
      <c r="AG6" s="34"/>
      <c r="AH6" s="34"/>
      <c r="AI6" s="34"/>
      <c r="AJ6" s="34"/>
      <c r="AK6" s="34"/>
      <c r="AL6" s="34"/>
      <c r="AM6" s="34"/>
      <c r="AN6" s="32"/>
      <c r="AO6" s="32"/>
      <c r="AP6" s="21"/>
      <c r="AQ6" s="21"/>
      <c r="AR6" s="32"/>
      <c r="AS6" s="32"/>
      <c r="AT6" s="32"/>
      <c r="AU6" s="32"/>
      <c r="AV6" s="32"/>
      <c r="AW6" s="32"/>
      <c r="AX6" s="32"/>
      <c r="AY6" s="32"/>
      <c r="AZ6" s="32"/>
      <c r="BA6" s="32"/>
    </row>
    <row r="7" spans="1:62" s="65" customFormat="1" ht="47.25" customHeight="1" x14ac:dyDescent="0.25">
      <c r="A7" s="293" t="s">
        <v>2</v>
      </c>
      <c r="B7" s="293" t="s">
        <v>519</v>
      </c>
      <c r="C7" s="317" t="s">
        <v>520</v>
      </c>
      <c r="D7" s="317" t="s">
        <v>9</v>
      </c>
      <c r="E7" s="293" t="s">
        <v>170</v>
      </c>
      <c r="F7" s="305" t="s">
        <v>3</v>
      </c>
      <c r="G7" s="305" t="s">
        <v>4</v>
      </c>
      <c r="H7" s="305" t="s">
        <v>139</v>
      </c>
      <c r="I7" s="293" t="s">
        <v>528</v>
      </c>
      <c r="J7" s="293"/>
      <c r="K7" s="293" t="s">
        <v>326</v>
      </c>
      <c r="L7" s="293"/>
      <c r="M7" s="293" t="s">
        <v>173</v>
      </c>
      <c r="N7" s="293" t="s">
        <v>174</v>
      </c>
      <c r="O7" s="293"/>
      <c r="P7" s="293" t="s">
        <v>327</v>
      </c>
      <c r="Q7" s="293"/>
      <c r="R7" s="309" t="s">
        <v>177</v>
      </c>
      <c r="S7" s="310"/>
      <c r="T7" s="293" t="s">
        <v>195</v>
      </c>
      <c r="U7" s="293"/>
      <c r="V7" s="293" t="s">
        <v>179</v>
      </c>
      <c r="W7" s="293"/>
      <c r="X7" s="293" t="s">
        <v>180</v>
      </c>
      <c r="Y7" s="293" t="s">
        <v>328</v>
      </c>
      <c r="Z7" s="293"/>
      <c r="AA7" s="306" t="s">
        <v>329</v>
      </c>
      <c r="AB7" s="307"/>
      <c r="AC7" s="307"/>
      <c r="AD7" s="307"/>
      <c r="AE7" s="307"/>
      <c r="AF7" s="307"/>
      <c r="AG7" s="307"/>
      <c r="AH7" s="307"/>
      <c r="AI7" s="307"/>
      <c r="AJ7" s="307"/>
      <c r="AK7" s="307"/>
      <c r="AL7" s="307"/>
      <c r="AM7" s="308"/>
      <c r="AN7" s="293" t="s">
        <v>457</v>
      </c>
      <c r="AO7" s="293"/>
      <c r="AP7" s="293" t="s">
        <v>330</v>
      </c>
      <c r="AQ7" s="293" t="s">
        <v>184</v>
      </c>
      <c r="AR7" s="293" t="s">
        <v>343</v>
      </c>
      <c r="AS7" s="293" t="s">
        <v>331</v>
      </c>
      <c r="AT7" s="293"/>
      <c r="AU7" s="293" t="s">
        <v>187</v>
      </c>
      <c r="AV7" s="317" t="s">
        <v>531</v>
      </c>
      <c r="AW7" s="317" t="s">
        <v>530</v>
      </c>
      <c r="AX7" s="293" t="s">
        <v>188</v>
      </c>
      <c r="AY7" s="320" t="s">
        <v>166</v>
      </c>
      <c r="AZ7" s="320" t="s">
        <v>167</v>
      </c>
      <c r="BA7" s="293" t="s">
        <v>332</v>
      </c>
    </row>
    <row r="8" spans="1:62" s="65" customFormat="1" ht="25.15" customHeight="1" x14ac:dyDescent="0.25">
      <c r="A8" s="293"/>
      <c r="B8" s="293"/>
      <c r="C8" s="319"/>
      <c r="D8" s="319"/>
      <c r="E8" s="293"/>
      <c r="F8" s="305"/>
      <c r="G8" s="305"/>
      <c r="H8" s="305"/>
      <c r="I8" s="293"/>
      <c r="J8" s="293"/>
      <c r="K8" s="293"/>
      <c r="L8" s="293"/>
      <c r="M8" s="293"/>
      <c r="N8" s="293"/>
      <c r="O8" s="293"/>
      <c r="P8" s="293"/>
      <c r="Q8" s="293"/>
      <c r="R8" s="311"/>
      <c r="S8" s="312"/>
      <c r="T8" s="293"/>
      <c r="U8" s="293"/>
      <c r="V8" s="293"/>
      <c r="W8" s="293"/>
      <c r="X8" s="293"/>
      <c r="Y8" s="293"/>
      <c r="Z8" s="293"/>
      <c r="AA8" s="293" t="s">
        <v>333</v>
      </c>
      <c r="AB8" s="293" t="s">
        <v>334</v>
      </c>
      <c r="AC8" s="293" t="s">
        <v>335</v>
      </c>
      <c r="AD8" s="293" t="s">
        <v>344</v>
      </c>
      <c r="AE8" s="293" t="s">
        <v>336</v>
      </c>
      <c r="AF8" s="293" t="s">
        <v>337</v>
      </c>
      <c r="AG8" s="293"/>
      <c r="AH8" s="293" t="s">
        <v>338</v>
      </c>
      <c r="AI8" s="293"/>
      <c r="AJ8" s="293" t="s">
        <v>339</v>
      </c>
      <c r="AK8" s="293" t="s">
        <v>340</v>
      </c>
      <c r="AL8" s="293" t="s">
        <v>341</v>
      </c>
      <c r="AM8" s="293" t="s">
        <v>342</v>
      </c>
      <c r="AN8" s="293"/>
      <c r="AO8" s="293"/>
      <c r="AP8" s="293"/>
      <c r="AQ8" s="293"/>
      <c r="AR8" s="293"/>
      <c r="AS8" s="293"/>
      <c r="AT8" s="293"/>
      <c r="AU8" s="293"/>
      <c r="AV8" s="319"/>
      <c r="AW8" s="319"/>
      <c r="AX8" s="293"/>
      <c r="AY8" s="320"/>
      <c r="AZ8" s="320"/>
      <c r="BA8" s="293"/>
    </row>
    <row r="9" spans="1:62" s="65" customFormat="1" ht="25.15" customHeight="1" x14ac:dyDescent="0.25">
      <c r="A9" s="293"/>
      <c r="B9" s="293"/>
      <c r="C9" s="319"/>
      <c r="D9" s="319"/>
      <c r="E9" s="293"/>
      <c r="F9" s="305"/>
      <c r="G9" s="305"/>
      <c r="H9" s="305"/>
      <c r="I9" s="293"/>
      <c r="J9" s="293"/>
      <c r="K9" s="293"/>
      <c r="L9" s="293"/>
      <c r="M9" s="293"/>
      <c r="N9" s="293"/>
      <c r="O9" s="293"/>
      <c r="P9" s="293"/>
      <c r="Q9" s="293"/>
      <c r="R9" s="311"/>
      <c r="S9" s="312"/>
      <c r="T9" s="293"/>
      <c r="U9" s="293"/>
      <c r="V9" s="293"/>
      <c r="W9" s="293"/>
      <c r="X9" s="293"/>
      <c r="Y9" s="293"/>
      <c r="Z9" s="293"/>
      <c r="AA9" s="293"/>
      <c r="AB9" s="293"/>
      <c r="AC9" s="293"/>
      <c r="AD9" s="293"/>
      <c r="AE9" s="293"/>
      <c r="AF9" s="293"/>
      <c r="AG9" s="293"/>
      <c r="AH9" s="293"/>
      <c r="AI9" s="293"/>
      <c r="AJ9" s="293"/>
      <c r="AK9" s="293"/>
      <c r="AL9" s="293"/>
      <c r="AM9" s="293"/>
      <c r="AN9" s="293"/>
      <c r="AO9" s="293"/>
      <c r="AP9" s="293"/>
      <c r="AQ9" s="293"/>
      <c r="AR9" s="293"/>
      <c r="AS9" s="293" t="s">
        <v>15</v>
      </c>
      <c r="AT9" s="320" t="s">
        <v>449</v>
      </c>
      <c r="AU9" s="293"/>
      <c r="AV9" s="319"/>
      <c r="AW9" s="319"/>
      <c r="AX9" s="293"/>
      <c r="AY9" s="320"/>
      <c r="AZ9" s="320"/>
      <c r="BA9" s="293"/>
    </row>
    <row r="10" spans="1:62" s="65" customFormat="1" ht="53.45" customHeight="1" x14ac:dyDescent="0.25">
      <c r="A10" s="293"/>
      <c r="B10" s="293"/>
      <c r="C10" s="319"/>
      <c r="D10" s="319"/>
      <c r="E10" s="293"/>
      <c r="F10" s="305"/>
      <c r="G10" s="305"/>
      <c r="H10" s="305"/>
      <c r="I10" s="293" t="s">
        <v>459</v>
      </c>
      <c r="J10" s="293" t="s">
        <v>90</v>
      </c>
      <c r="K10" s="293"/>
      <c r="L10" s="293"/>
      <c r="M10" s="293"/>
      <c r="N10" s="293"/>
      <c r="O10" s="293"/>
      <c r="P10" s="293"/>
      <c r="Q10" s="293"/>
      <c r="R10" s="311"/>
      <c r="S10" s="312"/>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c r="AS10" s="293"/>
      <c r="AT10" s="320"/>
      <c r="AU10" s="293"/>
      <c r="AV10" s="319"/>
      <c r="AW10" s="319"/>
      <c r="AX10" s="293"/>
      <c r="AY10" s="320"/>
      <c r="AZ10" s="320"/>
      <c r="BA10" s="293"/>
    </row>
    <row r="11" spans="1:62" s="65" customFormat="1" ht="34.15" customHeight="1" x14ac:dyDescent="0.25">
      <c r="A11" s="293"/>
      <c r="B11" s="293"/>
      <c r="C11" s="319"/>
      <c r="D11" s="319"/>
      <c r="E11" s="293"/>
      <c r="F11" s="305"/>
      <c r="G11" s="305"/>
      <c r="H11" s="305"/>
      <c r="I11" s="293"/>
      <c r="J11" s="293"/>
      <c r="K11" s="293"/>
      <c r="L11" s="293"/>
      <c r="M11" s="293"/>
      <c r="N11" s="293"/>
      <c r="O11" s="293"/>
      <c r="P11" s="293"/>
      <c r="Q11" s="293"/>
      <c r="R11" s="313"/>
      <c r="S11" s="314"/>
      <c r="T11" s="315" t="s">
        <v>10</v>
      </c>
      <c r="U11" s="317" t="s">
        <v>142</v>
      </c>
      <c r="V11" s="293"/>
      <c r="W11" s="293"/>
      <c r="X11" s="293"/>
      <c r="Y11" s="293"/>
      <c r="Z11" s="293"/>
      <c r="AA11" s="293"/>
      <c r="AB11" s="293"/>
      <c r="AC11" s="293"/>
      <c r="AD11" s="293"/>
      <c r="AE11" s="293"/>
      <c r="AF11" s="293" t="s">
        <v>11</v>
      </c>
      <c r="AG11" s="293" t="s">
        <v>142</v>
      </c>
      <c r="AH11" s="293"/>
      <c r="AI11" s="293"/>
      <c r="AJ11" s="293"/>
      <c r="AK11" s="293"/>
      <c r="AL11" s="293"/>
      <c r="AM11" s="293"/>
      <c r="AN11" s="293"/>
      <c r="AO11" s="293"/>
      <c r="AP11" s="293"/>
      <c r="AQ11" s="293"/>
      <c r="AR11" s="293"/>
      <c r="AS11" s="293"/>
      <c r="AT11" s="320"/>
      <c r="AU11" s="293"/>
      <c r="AV11" s="319"/>
      <c r="AW11" s="319"/>
      <c r="AX11" s="293"/>
      <c r="AY11" s="320"/>
      <c r="AZ11" s="320"/>
      <c r="BA11" s="293"/>
    </row>
    <row r="12" spans="1:62" s="65" customFormat="1" ht="36" customHeight="1" x14ac:dyDescent="0.25">
      <c r="A12" s="293"/>
      <c r="B12" s="293"/>
      <c r="C12" s="318"/>
      <c r="D12" s="318"/>
      <c r="E12" s="293"/>
      <c r="F12" s="305"/>
      <c r="G12" s="305"/>
      <c r="H12" s="305"/>
      <c r="I12" s="293"/>
      <c r="J12" s="293"/>
      <c r="K12" s="117" t="s">
        <v>1</v>
      </c>
      <c r="L12" s="117" t="s">
        <v>142</v>
      </c>
      <c r="M12" s="293"/>
      <c r="N12" s="117" t="s">
        <v>1</v>
      </c>
      <c r="O12" s="117" t="s">
        <v>142</v>
      </c>
      <c r="P12" s="117" t="s">
        <v>7</v>
      </c>
      <c r="Q12" s="117" t="s">
        <v>142</v>
      </c>
      <c r="R12" s="117" t="s">
        <v>8</v>
      </c>
      <c r="S12" s="117" t="s">
        <v>142</v>
      </c>
      <c r="T12" s="316"/>
      <c r="U12" s="318"/>
      <c r="V12" s="123" t="s">
        <v>1</v>
      </c>
      <c r="W12" s="117" t="s">
        <v>142</v>
      </c>
      <c r="X12" s="293"/>
      <c r="Y12" s="117" t="s">
        <v>1</v>
      </c>
      <c r="Z12" s="117" t="s">
        <v>142</v>
      </c>
      <c r="AA12" s="293"/>
      <c r="AB12" s="293"/>
      <c r="AC12" s="293"/>
      <c r="AD12" s="293"/>
      <c r="AE12" s="293"/>
      <c r="AF12" s="293"/>
      <c r="AG12" s="293"/>
      <c r="AH12" s="117" t="s">
        <v>1</v>
      </c>
      <c r="AI12" s="117" t="s">
        <v>142</v>
      </c>
      <c r="AJ12" s="293"/>
      <c r="AK12" s="293"/>
      <c r="AL12" s="293"/>
      <c r="AM12" s="293"/>
      <c r="AN12" s="123" t="s">
        <v>1</v>
      </c>
      <c r="AO12" s="117" t="s">
        <v>142</v>
      </c>
      <c r="AP12" s="293"/>
      <c r="AQ12" s="293"/>
      <c r="AR12" s="293"/>
      <c r="AS12" s="293"/>
      <c r="AT12" s="320"/>
      <c r="AU12" s="293"/>
      <c r="AV12" s="318"/>
      <c r="AW12" s="318"/>
      <c r="AX12" s="293"/>
      <c r="AY12" s="320"/>
      <c r="AZ12" s="320"/>
      <c r="BA12" s="293"/>
    </row>
    <row r="13" spans="1:62" s="2" customFormat="1" ht="46.5" customHeight="1" x14ac:dyDescent="0.25">
      <c r="A13" s="13">
        <v>1</v>
      </c>
      <c r="B13" s="13">
        <v>2</v>
      </c>
      <c r="C13" s="13"/>
      <c r="D13" s="13">
        <v>3</v>
      </c>
      <c r="E13" s="13">
        <v>4</v>
      </c>
      <c r="F13" s="13">
        <v>6</v>
      </c>
      <c r="G13" s="13">
        <v>7</v>
      </c>
      <c r="H13" s="13" t="s">
        <v>30</v>
      </c>
      <c r="I13" s="13">
        <v>9</v>
      </c>
      <c r="J13" s="13" t="s">
        <v>26</v>
      </c>
      <c r="K13" s="14">
        <v>11</v>
      </c>
      <c r="L13" s="13" t="s">
        <v>27</v>
      </c>
      <c r="M13" s="13" t="s">
        <v>35</v>
      </c>
      <c r="N13" s="14">
        <v>14</v>
      </c>
      <c r="O13" s="14" t="s">
        <v>31</v>
      </c>
      <c r="P13" s="13">
        <v>16</v>
      </c>
      <c r="Q13" s="13">
        <v>17</v>
      </c>
      <c r="R13" s="13">
        <v>18</v>
      </c>
      <c r="S13" s="13">
        <v>19</v>
      </c>
      <c r="T13" s="13">
        <v>20</v>
      </c>
      <c r="U13" s="13">
        <v>21</v>
      </c>
      <c r="V13" s="13">
        <v>22</v>
      </c>
      <c r="W13" s="13" t="s">
        <v>32</v>
      </c>
      <c r="X13" s="13" t="s">
        <v>28</v>
      </c>
      <c r="Y13" s="13">
        <v>25</v>
      </c>
      <c r="Z13" s="13" t="s">
        <v>29</v>
      </c>
      <c r="AA13" s="13">
        <v>27</v>
      </c>
      <c r="AB13" s="13">
        <v>28</v>
      </c>
      <c r="AC13" s="13">
        <v>29</v>
      </c>
      <c r="AD13" s="13">
        <v>30</v>
      </c>
      <c r="AE13" s="13">
        <v>31</v>
      </c>
      <c r="AF13" s="13">
        <v>32</v>
      </c>
      <c r="AG13" s="13" t="s">
        <v>79</v>
      </c>
      <c r="AH13" s="13">
        <v>34</v>
      </c>
      <c r="AI13" s="13" t="s">
        <v>80</v>
      </c>
      <c r="AJ13" s="13">
        <v>36</v>
      </c>
      <c r="AK13" s="13">
        <v>37</v>
      </c>
      <c r="AL13" s="13">
        <v>38</v>
      </c>
      <c r="AM13" s="13" t="s">
        <v>81</v>
      </c>
      <c r="AN13" s="13">
        <v>40</v>
      </c>
      <c r="AO13" s="13">
        <v>41</v>
      </c>
      <c r="AP13" s="13" t="s">
        <v>82</v>
      </c>
      <c r="AQ13" s="13">
        <v>43</v>
      </c>
      <c r="AR13" s="15">
        <v>44</v>
      </c>
      <c r="AS13" s="14" t="s">
        <v>83</v>
      </c>
      <c r="AT13" s="16">
        <v>46</v>
      </c>
      <c r="AU13" s="13" t="s">
        <v>84</v>
      </c>
      <c r="AV13" s="56" t="s">
        <v>553</v>
      </c>
      <c r="AW13" s="56">
        <v>49</v>
      </c>
      <c r="AX13" s="13" t="s">
        <v>323</v>
      </c>
      <c r="AY13" s="16" t="s">
        <v>324</v>
      </c>
      <c r="AZ13" s="16" t="s">
        <v>521</v>
      </c>
      <c r="BA13" s="13" t="s">
        <v>325</v>
      </c>
    </row>
    <row r="14" spans="1:62" s="157" customFormat="1" ht="51" x14ac:dyDescent="0.25">
      <c r="A14" s="84"/>
      <c r="B14" s="85" t="s">
        <v>522</v>
      </c>
      <c r="C14" s="85"/>
      <c r="D14" s="84"/>
      <c r="E14" s="84"/>
      <c r="F14" s="84"/>
      <c r="G14" s="84"/>
      <c r="H14" s="84">
        <f>SUM(H15:H17)</f>
        <v>1</v>
      </c>
      <c r="I14" s="84">
        <f t="shared" ref="I14:AZ14" si="0">SUM(I15:I17)</f>
        <v>3550</v>
      </c>
      <c r="J14" s="84">
        <f t="shared" si="0"/>
        <v>3550</v>
      </c>
      <c r="K14" s="84">
        <f t="shared" si="0"/>
        <v>0</v>
      </c>
      <c r="L14" s="84">
        <f t="shared" si="0"/>
        <v>0</v>
      </c>
      <c r="M14" s="84">
        <f t="shared" si="0"/>
        <v>3550</v>
      </c>
      <c r="N14" s="175"/>
      <c r="O14" s="84">
        <f t="shared" si="0"/>
        <v>1065</v>
      </c>
      <c r="P14" s="163">
        <f t="shared" si="0"/>
        <v>0</v>
      </c>
      <c r="Q14" s="84">
        <f t="shared" si="0"/>
        <v>0</v>
      </c>
      <c r="R14" s="163">
        <f t="shared" si="0"/>
        <v>0</v>
      </c>
      <c r="S14" s="84">
        <f t="shared" si="0"/>
        <v>100</v>
      </c>
      <c r="T14" s="126"/>
      <c r="U14" s="84">
        <f t="shared" si="0"/>
        <v>0</v>
      </c>
      <c r="V14" s="84">
        <f t="shared" si="0"/>
        <v>0</v>
      </c>
      <c r="W14" s="84">
        <f t="shared" si="0"/>
        <v>0</v>
      </c>
      <c r="X14" s="84">
        <f t="shared" si="0"/>
        <v>0</v>
      </c>
      <c r="Y14" s="84"/>
      <c r="Z14" s="84">
        <f t="shared" si="0"/>
        <v>1420</v>
      </c>
      <c r="AA14" s="84">
        <f t="shared" si="0"/>
        <v>180</v>
      </c>
      <c r="AB14" s="84">
        <f t="shared" si="0"/>
        <v>40</v>
      </c>
      <c r="AC14" s="84">
        <f t="shared" si="0"/>
        <v>0</v>
      </c>
      <c r="AD14" s="84">
        <f t="shared" si="0"/>
        <v>0</v>
      </c>
      <c r="AE14" s="84">
        <f t="shared" si="0"/>
        <v>0</v>
      </c>
      <c r="AF14" s="84">
        <f t="shared" si="0"/>
        <v>0</v>
      </c>
      <c r="AG14" s="84">
        <f t="shared" si="0"/>
        <v>0</v>
      </c>
      <c r="AH14" s="84">
        <f t="shared" si="0"/>
        <v>0</v>
      </c>
      <c r="AI14" s="84">
        <f t="shared" si="0"/>
        <v>0</v>
      </c>
      <c r="AJ14" s="84">
        <f t="shared" si="0"/>
        <v>0</v>
      </c>
      <c r="AK14" s="84">
        <f t="shared" si="0"/>
        <v>0</v>
      </c>
      <c r="AL14" s="84">
        <f t="shared" si="0"/>
        <v>0</v>
      </c>
      <c r="AM14" s="84">
        <f t="shared" si="0"/>
        <v>0</v>
      </c>
      <c r="AN14" s="84">
        <f t="shared" si="0"/>
        <v>0</v>
      </c>
      <c r="AO14" s="84">
        <f t="shared" si="0"/>
        <v>0</v>
      </c>
      <c r="AP14" s="196">
        <f t="shared" si="0"/>
        <v>0</v>
      </c>
      <c r="AQ14" s="196">
        <f t="shared" si="0"/>
        <v>6355</v>
      </c>
      <c r="AR14" s="196">
        <f t="shared" si="0"/>
        <v>3177.5</v>
      </c>
      <c r="AS14" s="196">
        <f t="shared" si="0"/>
        <v>3177.5</v>
      </c>
      <c r="AT14" s="196">
        <f t="shared" si="0"/>
        <v>3177.5</v>
      </c>
      <c r="AU14" s="196">
        <f t="shared" si="0"/>
        <v>3550</v>
      </c>
      <c r="AV14" s="196">
        <f t="shared" si="0"/>
        <v>1121.25</v>
      </c>
      <c r="AW14" s="196">
        <f t="shared" si="0"/>
        <v>0</v>
      </c>
      <c r="AX14" s="196">
        <f t="shared" si="0"/>
        <v>87.3</v>
      </c>
      <c r="AY14" s="196">
        <f t="shared" si="0"/>
        <v>19.3</v>
      </c>
      <c r="AZ14" s="196">
        <f t="shared" si="0"/>
        <v>3.9</v>
      </c>
      <c r="BA14" s="196">
        <f>SUM(BA15:BA17)</f>
        <v>110.5</v>
      </c>
    </row>
    <row r="15" spans="1:62" s="65" customFormat="1" x14ac:dyDescent="0.25">
      <c r="A15" s="18">
        <v>1</v>
      </c>
      <c r="B15" s="83" t="s">
        <v>395</v>
      </c>
      <c r="C15" s="83" t="s">
        <v>523</v>
      </c>
      <c r="D15" s="18"/>
      <c r="E15" s="18" t="s">
        <v>426</v>
      </c>
      <c r="F15" s="18">
        <v>720</v>
      </c>
      <c r="G15" s="18">
        <v>720</v>
      </c>
      <c r="H15" s="18">
        <f>G15/F15</f>
        <v>1</v>
      </c>
      <c r="I15" s="177">
        <v>3550</v>
      </c>
      <c r="J15" s="134">
        <f>I15*H15</f>
        <v>3550</v>
      </c>
      <c r="K15" s="144"/>
      <c r="L15" s="18">
        <f>J15*K15</f>
        <v>0</v>
      </c>
      <c r="M15" s="134">
        <f>J15+L15</f>
        <v>3550</v>
      </c>
      <c r="N15" s="103">
        <v>0.3</v>
      </c>
      <c r="O15" s="18">
        <f>ROUND(M15*N15,1)</f>
        <v>1065</v>
      </c>
      <c r="P15" s="135"/>
      <c r="Q15" s="18"/>
      <c r="R15" s="135" t="s">
        <v>437</v>
      </c>
      <c r="S15" s="18">
        <v>100</v>
      </c>
      <c r="T15" s="104"/>
      <c r="U15" s="18"/>
      <c r="V15" s="144"/>
      <c r="W15" s="18"/>
      <c r="X15" s="18"/>
      <c r="Y15" s="103">
        <v>0.4</v>
      </c>
      <c r="Z15" s="18">
        <f>ROUND(M15*Y15,1)</f>
        <v>1420</v>
      </c>
      <c r="AA15" s="18">
        <v>180</v>
      </c>
      <c r="AB15" s="18">
        <f>40*H15</f>
        <v>40</v>
      </c>
      <c r="AC15" s="18"/>
      <c r="AD15" s="18"/>
      <c r="AE15" s="18"/>
      <c r="AF15" s="18"/>
      <c r="AG15" s="18"/>
      <c r="AH15" s="18"/>
      <c r="AI15" s="18"/>
      <c r="AJ15" s="18"/>
      <c r="AK15" s="18"/>
      <c r="AL15" s="18"/>
      <c r="AM15" s="18"/>
      <c r="AN15" s="18"/>
      <c r="AO15" s="18"/>
      <c r="AP15" s="197"/>
      <c r="AQ15" s="197">
        <f>ROUND(AP15+AO15+AM15+AL15+AK15+AJ15+AI15+AG15+AE15+AD15+AC15+AB15+AA15+Z15+X15+W15+U15+S15+Q15+O15+M15,1)</f>
        <v>6355</v>
      </c>
      <c r="AR15" s="197">
        <f>ROUND(AQ15/2,1)</f>
        <v>3177.5</v>
      </c>
      <c r="AS15" s="197">
        <f>AQ15-AR15-AP15</f>
        <v>3177.5</v>
      </c>
      <c r="AT15" s="198">
        <f>IF(AS15&gt;6650,6650,AS15)</f>
        <v>3177.5</v>
      </c>
      <c r="AU15" s="197">
        <f>M15</f>
        <v>3550</v>
      </c>
      <c r="AV15" s="197">
        <f>((AR15+AU15)/12*2)</f>
        <v>1121.25</v>
      </c>
      <c r="AW15" s="197"/>
      <c r="AX15" s="197">
        <f>ROUND((AQ15*12+AR15+AS15+AU15+AV15+AW15)/1000,1)</f>
        <v>87.3</v>
      </c>
      <c r="AY15" s="197">
        <f>ROUND((AX15-AT15/1000)*23%,1)</f>
        <v>19.3</v>
      </c>
      <c r="AZ15" s="197">
        <f>ROUND(AX15*4.5%,1)</f>
        <v>3.9</v>
      </c>
      <c r="BA15" s="197">
        <f>SUM(AX15:AZ15)</f>
        <v>110.5</v>
      </c>
    </row>
    <row r="16" spans="1:62" s="65" customFormat="1" x14ac:dyDescent="0.25">
      <c r="A16" s="18">
        <v>2</v>
      </c>
      <c r="B16" s="83" t="s">
        <v>322</v>
      </c>
      <c r="C16" s="83"/>
      <c r="D16" s="18"/>
      <c r="E16" s="18"/>
      <c r="F16" s="18"/>
      <c r="G16" s="18"/>
      <c r="H16" s="18"/>
      <c r="I16" s="18"/>
      <c r="J16" s="134">
        <f t="shared" ref="J16:J29" si="1">I16*H16</f>
        <v>0</v>
      </c>
      <c r="K16" s="144"/>
      <c r="L16" s="18">
        <f t="shared" ref="L16:L29" si="2">J16*K16</f>
        <v>0</v>
      </c>
      <c r="M16" s="134">
        <f t="shared" ref="M16:M29" si="3">J16+L16</f>
        <v>0</v>
      </c>
      <c r="N16" s="103"/>
      <c r="O16" s="18">
        <f t="shared" ref="O16:O29" si="4">ROUND(M16*N16,1)</f>
        <v>0</v>
      </c>
      <c r="P16" s="135"/>
      <c r="Q16" s="18"/>
      <c r="R16" s="135"/>
      <c r="S16" s="18"/>
      <c r="T16" s="104"/>
      <c r="U16" s="18"/>
      <c r="V16" s="144"/>
      <c r="W16" s="18"/>
      <c r="X16" s="18"/>
      <c r="Y16" s="103"/>
      <c r="Z16" s="18">
        <f t="shared" ref="Z16:Z29" si="5">ROUND(M16*Y16,1)</f>
        <v>0</v>
      </c>
      <c r="AA16" s="18"/>
      <c r="AB16" s="18"/>
      <c r="AC16" s="18"/>
      <c r="AD16" s="18"/>
      <c r="AE16" s="18"/>
      <c r="AF16" s="18"/>
      <c r="AG16" s="18"/>
      <c r="AH16" s="18"/>
      <c r="AI16" s="18"/>
      <c r="AJ16" s="18"/>
      <c r="AK16" s="18"/>
      <c r="AL16" s="18"/>
      <c r="AM16" s="18"/>
      <c r="AN16" s="18"/>
      <c r="AO16" s="18"/>
      <c r="AP16" s="197"/>
      <c r="AQ16" s="197">
        <f t="shared" ref="AQ16:AQ29" si="6">ROUND(AP16+AO16+AM16+AL16+AK16+AJ16+AI16+AG16+AE16+AD16+AC16+AB16+AA16+Z16+X16+W16+U16+S16+Q16+O16+M16,1)</f>
        <v>0</v>
      </c>
      <c r="AR16" s="197">
        <f t="shared" ref="AR16:AR28" si="7">ROUND(AQ16/2,1)</f>
        <v>0</v>
      </c>
      <c r="AS16" s="197">
        <f t="shared" ref="AS16:AS29" si="8">AQ16-AR16-AP16</f>
        <v>0</v>
      </c>
      <c r="AT16" s="198">
        <f t="shared" ref="AT16:AT29" si="9">IF(AS16&gt;6650,6650,AS16)</f>
        <v>0</v>
      </c>
      <c r="AU16" s="197">
        <f>M16</f>
        <v>0</v>
      </c>
      <c r="AV16" s="197">
        <f t="shared" ref="AV16:AV17" si="10">((AR16+AU16)/12*2)</f>
        <v>0</v>
      </c>
      <c r="AW16" s="197"/>
      <c r="AX16" s="197">
        <f t="shared" ref="AX16:AX29" si="11">ROUND((AQ16*12+AR16+AS16+AU16+AV16+AW16)/1000,1)</f>
        <v>0</v>
      </c>
      <c r="AY16" s="197">
        <f t="shared" ref="AY16:AY29" si="12">ROUND((AX16-AT16/1000)*23%,1)</f>
        <v>0</v>
      </c>
      <c r="AZ16" s="197">
        <f t="shared" ref="AZ16:AZ29" si="13">ROUND(AX16*4.5%,1)</f>
        <v>0</v>
      </c>
      <c r="BA16" s="197">
        <f t="shared" ref="BA16:BA29" si="14">SUM(AX16:AZ16)</f>
        <v>0</v>
      </c>
    </row>
    <row r="17" spans="1:53" s="65" customFormat="1" x14ac:dyDescent="0.25">
      <c r="A17" s="18">
        <v>3</v>
      </c>
      <c r="B17" s="83" t="s">
        <v>322</v>
      </c>
      <c r="C17" s="83"/>
      <c r="D17" s="18"/>
      <c r="E17" s="18"/>
      <c r="F17" s="18"/>
      <c r="G17" s="18"/>
      <c r="H17" s="18"/>
      <c r="I17" s="18"/>
      <c r="J17" s="134">
        <f t="shared" si="1"/>
        <v>0</v>
      </c>
      <c r="K17" s="144"/>
      <c r="L17" s="18">
        <f t="shared" si="2"/>
        <v>0</v>
      </c>
      <c r="M17" s="134">
        <f t="shared" si="3"/>
        <v>0</v>
      </c>
      <c r="N17" s="103"/>
      <c r="O17" s="18">
        <f t="shared" si="4"/>
        <v>0</v>
      </c>
      <c r="P17" s="135"/>
      <c r="Q17" s="18"/>
      <c r="R17" s="135"/>
      <c r="S17" s="18"/>
      <c r="T17" s="104"/>
      <c r="U17" s="18"/>
      <c r="V17" s="144"/>
      <c r="W17" s="18"/>
      <c r="X17" s="18"/>
      <c r="Y17" s="103"/>
      <c r="Z17" s="18">
        <f t="shared" si="5"/>
        <v>0</v>
      </c>
      <c r="AA17" s="18"/>
      <c r="AB17" s="18"/>
      <c r="AC17" s="18"/>
      <c r="AD17" s="18"/>
      <c r="AE17" s="18"/>
      <c r="AF17" s="18"/>
      <c r="AG17" s="18"/>
      <c r="AH17" s="18"/>
      <c r="AI17" s="18"/>
      <c r="AJ17" s="18"/>
      <c r="AK17" s="18"/>
      <c r="AL17" s="18"/>
      <c r="AM17" s="18"/>
      <c r="AN17" s="18"/>
      <c r="AO17" s="18"/>
      <c r="AP17" s="197"/>
      <c r="AQ17" s="197">
        <f t="shared" si="6"/>
        <v>0</v>
      </c>
      <c r="AR17" s="197">
        <f t="shared" si="7"/>
        <v>0</v>
      </c>
      <c r="AS17" s="197">
        <f t="shared" si="8"/>
        <v>0</v>
      </c>
      <c r="AT17" s="198">
        <f t="shared" si="9"/>
        <v>0</v>
      </c>
      <c r="AU17" s="197">
        <f t="shared" ref="AU17" si="15">M17</f>
        <v>0</v>
      </c>
      <c r="AV17" s="197">
        <f t="shared" si="10"/>
        <v>0</v>
      </c>
      <c r="AW17" s="197"/>
      <c r="AX17" s="197">
        <f t="shared" si="11"/>
        <v>0</v>
      </c>
      <c r="AY17" s="197">
        <f t="shared" si="12"/>
        <v>0</v>
      </c>
      <c r="AZ17" s="197">
        <f t="shared" si="13"/>
        <v>0</v>
      </c>
      <c r="BA17" s="197">
        <f t="shared" si="14"/>
        <v>0</v>
      </c>
    </row>
    <row r="18" spans="1:53" s="157" customFormat="1" ht="63.75" x14ac:dyDescent="0.25">
      <c r="A18" s="84"/>
      <c r="B18" s="85" t="s">
        <v>524</v>
      </c>
      <c r="C18" s="85"/>
      <c r="D18" s="84"/>
      <c r="E18" s="84"/>
      <c r="F18" s="84"/>
      <c r="G18" s="84"/>
      <c r="H18" s="84">
        <f t="shared" ref="H18:AZ18" si="16">SUM(H19:H21)</f>
        <v>0</v>
      </c>
      <c r="I18" s="84">
        <f t="shared" si="16"/>
        <v>0</v>
      </c>
      <c r="J18" s="84">
        <f t="shared" si="16"/>
        <v>0</v>
      </c>
      <c r="K18" s="84">
        <f t="shared" si="16"/>
        <v>0</v>
      </c>
      <c r="L18" s="84">
        <f t="shared" si="16"/>
        <v>0</v>
      </c>
      <c r="M18" s="84">
        <f t="shared" si="16"/>
        <v>0</v>
      </c>
      <c r="N18" s="84">
        <f t="shared" si="16"/>
        <v>0</v>
      </c>
      <c r="O18" s="84">
        <f t="shared" si="16"/>
        <v>0</v>
      </c>
      <c r="P18" s="163">
        <f t="shared" si="16"/>
        <v>0</v>
      </c>
      <c r="Q18" s="84">
        <f t="shared" si="16"/>
        <v>0</v>
      </c>
      <c r="R18" s="163">
        <f t="shared" si="16"/>
        <v>0</v>
      </c>
      <c r="S18" s="84">
        <f t="shared" si="16"/>
        <v>0</v>
      </c>
      <c r="T18" s="126"/>
      <c r="U18" s="84">
        <f t="shared" si="16"/>
        <v>0</v>
      </c>
      <c r="V18" s="84">
        <f t="shared" si="16"/>
        <v>0</v>
      </c>
      <c r="W18" s="84">
        <f t="shared" si="16"/>
        <v>0</v>
      </c>
      <c r="X18" s="84">
        <f t="shared" si="16"/>
        <v>0</v>
      </c>
      <c r="Y18" s="84">
        <f t="shared" si="16"/>
        <v>0</v>
      </c>
      <c r="Z18" s="84">
        <f t="shared" si="16"/>
        <v>0</v>
      </c>
      <c r="AA18" s="84">
        <f t="shared" si="16"/>
        <v>0</v>
      </c>
      <c r="AB18" s="84">
        <f t="shared" si="16"/>
        <v>0</v>
      </c>
      <c r="AC18" s="84">
        <f t="shared" si="16"/>
        <v>0</v>
      </c>
      <c r="AD18" s="84">
        <f t="shared" si="16"/>
        <v>0</v>
      </c>
      <c r="AE18" s="84">
        <f t="shared" si="16"/>
        <v>0</v>
      </c>
      <c r="AF18" s="84">
        <f t="shared" si="16"/>
        <v>0</v>
      </c>
      <c r="AG18" s="84">
        <f t="shared" si="16"/>
        <v>0</v>
      </c>
      <c r="AH18" s="84">
        <f t="shared" si="16"/>
        <v>0</v>
      </c>
      <c r="AI18" s="84">
        <f t="shared" si="16"/>
        <v>0</v>
      </c>
      <c r="AJ18" s="84">
        <f t="shared" si="16"/>
        <v>0</v>
      </c>
      <c r="AK18" s="84">
        <f t="shared" si="16"/>
        <v>0</v>
      </c>
      <c r="AL18" s="84">
        <f t="shared" si="16"/>
        <v>0</v>
      </c>
      <c r="AM18" s="84">
        <f t="shared" si="16"/>
        <v>0</v>
      </c>
      <c r="AN18" s="84">
        <f t="shared" si="16"/>
        <v>0</v>
      </c>
      <c r="AO18" s="84">
        <f t="shared" si="16"/>
        <v>0</v>
      </c>
      <c r="AP18" s="196">
        <f t="shared" si="16"/>
        <v>0</v>
      </c>
      <c r="AQ18" s="196">
        <f t="shared" si="16"/>
        <v>0</v>
      </c>
      <c r="AR18" s="196">
        <f t="shared" si="16"/>
        <v>0</v>
      </c>
      <c r="AS18" s="196">
        <f t="shared" si="16"/>
        <v>0</v>
      </c>
      <c r="AT18" s="196">
        <f t="shared" si="16"/>
        <v>0</v>
      </c>
      <c r="AU18" s="196">
        <f t="shared" si="16"/>
        <v>0</v>
      </c>
      <c r="AV18" s="196">
        <f t="shared" si="16"/>
        <v>0</v>
      </c>
      <c r="AW18" s="196">
        <f t="shared" si="16"/>
        <v>0</v>
      </c>
      <c r="AX18" s="196">
        <f t="shared" si="16"/>
        <v>0</v>
      </c>
      <c r="AY18" s="196">
        <f t="shared" si="16"/>
        <v>0</v>
      </c>
      <c r="AZ18" s="196">
        <f t="shared" si="16"/>
        <v>0</v>
      </c>
      <c r="BA18" s="196">
        <f>SUM(BA19:BA21)</f>
        <v>0</v>
      </c>
    </row>
    <row r="19" spans="1:53" s="65" customFormat="1" x14ac:dyDescent="0.25">
      <c r="A19" s="18">
        <v>1</v>
      </c>
      <c r="B19" s="83" t="s">
        <v>322</v>
      </c>
      <c r="C19" s="83"/>
      <c r="D19" s="18"/>
      <c r="E19" s="18"/>
      <c r="F19" s="18"/>
      <c r="G19" s="18"/>
      <c r="H19" s="18"/>
      <c r="I19" s="18"/>
      <c r="J19" s="134">
        <f t="shared" si="1"/>
        <v>0</v>
      </c>
      <c r="K19" s="144"/>
      <c r="L19" s="18">
        <f t="shared" si="2"/>
        <v>0</v>
      </c>
      <c r="M19" s="134">
        <f t="shared" si="3"/>
        <v>0</v>
      </c>
      <c r="N19" s="103"/>
      <c r="O19" s="18">
        <f t="shared" si="4"/>
        <v>0</v>
      </c>
      <c r="P19" s="135"/>
      <c r="Q19" s="18"/>
      <c r="R19" s="135"/>
      <c r="S19" s="18"/>
      <c r="T19" s="104"/>
      <c r="U19" s="18"/>
      <c r="V19" s="144"/>
      <c r="W19" s="18"/>
      <c r="X19" s="18"/>
      <c r="Y19" s="103"/>
      <c r="Z19" s="18">
        <f t="shared" si="5"/>
        <v>0</v>
      </c>
      <c r="AA19" s="18"/>
      <c r="AB19" s="18"/>
      <c r="AC19" s="18"/>
      <c r="AD19" s="18"/>
      <c r="AE19" s="18"/>
      <c r="AF19" s="18"/>
      <c r="AG19" s="18"/>
      <c r="AH19" s="18"/>
      <c r="AI19" s="18"/>
      <c r="AJ19" s="18"/>
      <c r="AK19" s="18"/>
      <c r="AL19" s="18"/>
      <c r="AM19" s="18"/>
      <c r="AN19" s="18"/>
      <c r="AO19" s="18"/>
      <c r="AP19" s="197"/>
      <c r="AQ19" s="197">
        <f t="shared" si="6"/>
        <v>0</v>
      </c>
      <c r="AR19" s="197">
        <f t="shared" si="7"/>
        <v>0</v>
      </c>
      <c r="AS19" s="197">
        <f t="shared" si="8"/>
        <v>0</v>
      </c>
      <c r="AT19" s="198">
        <f t="shared" si="9"/>
        <v>0</v>
      </c>
      <c r="AU19" s="197">
        <f>M19</f>
        <v>0</v>
      </c>
      <c r="AV19" s="197">
        <f t="shared" ref="AV19:AV21" si="17">((AR19+AU19)/12*2)</f>
        <v>0</v>
      </c>
      <c r="AW19" s="197"/>
      <c r="AX19" s="197">
        <f t="shared" si="11"/>
        <v>0</v>
      </c>
      <c r="AY19" s="197">
        <f t="shared" si="12"/>
        <v>0</v>
      </c>
      <c r="AZ19" s="197">
        <f t="shared" si="13"/>
        <v>0</v>
      </c>
      <c r="BA19" s="197">
        <f t="shared" si="14"/>
        <v>0</v>
      </c>
    </row>
    <row r="20" spans="1:53" s="65" customFormat="1" x14ac:dyDescent="0.25">
      <c r="A20" s="18">
        <v>2</v>
      </c>
      <c r="B20" s="83" t="s">
        <v>322</v>
      </c>
      <c r="C20" s="83"/>
      <c r="D20" s="18"/>
      <c r="E20" s="18"/>
      <c r="F20" s="18"/>
      <c r="G20" s="18"/>
      <c r="H20" s="18"/>
      <c r="I20" s="18"/>
      <c r="J20" s="134">
        <f t="shared" si="1"/>
        <v>0</v>
      </c>
      <c r="K20" s="144"/>
      <c r="L20" s="18">
        <f t="shared" si="2"/>
        <v>0</v>
      </c>
      <c r="M20" s="134">
        <f t="shared" si="3"/>
        <v>0</v>
      </c>
      <c r="N20" s="103"/>
      <c r="O20" s="18">
        <f t="shared" si="4"/>
        <v>0</v>
      </c>
      <c r="P20" s="135"/>
      <c r="Q20" s="18"/>
      <c r="R20" s="135"/>
      <c r="S20" s="18"/>
      <c r="T20" s="104"/>
      <c r="U20" s="18"/>
      <c r="V20" s="144"/>
      <c r="W20" s="18"/>
      <c r="X20" s="18"/>
      <c r="Y20" s="103"/>
      <c r="Z20" s="18">
        <f t="shared" si="5"/>
        <v>0</v>
      </c>
      <c r="AA20" s="18"/>
      <c r="AB20" s="18"/>
      <c r="AC20" s="18"/>
      <c r="AD20" s="18"/>
      <c r="AE20" s="18"/>
      <c r="AF20" s="18"/>
      <c r="AG20" s="18"/>
      <c r="AH20" s="18"/>
      <c r="AI20" s="18"/>
      <c r="AJ20" s="18"/>
      <c r="AK20" s="18"/>
      <c r="AL20" s="18"/>
      <c r="AM20" s="18"/>
      <c r="AN20" s="18"/>
      <c r="AO20" s="18"/>
      <c r="AP20" s="197"/>
      <c r="AQ20" s="197">
        <f t="shared" si="6"/>
        <v>0</v>
      </c>
      <c r="AR20" s="197">
        <f t="shared" si="7"/>
        <v>0</v>
      </c>
      <c r="AS20" s="197">
        <f t="shared" si="8"/>
        <v>0</v>
      </c>
      <c r="AT20" s="198">
        <f t="shared" si="9"/>
        <v>0</v>
      </c>
      <c r="AU20" s="197">
        <f t="shared" ref="AU20:AU29" si="18">M20</f>
        <v>0</v>
      </c>
      <c r="AV20" s="197">
        <f t="shared" si="17"/>
        <v>0</v>
      </c>
      <c r="AW20" s="197"/>
      <c r="AX20" s="197">
        <f t="shared" si="11"/>
        <v>0</v>
      </c>
      <c r="AY20" s="197">
        <f t="shared" si="12"/>
        <v>0</v>
      </c>
      <c r="AZ20" s="197">
        <f t="shared" si="13"/>
        <v>0</v>
      </c>
      <c r="BA20" s="197">
        <f t="shared" si="14"/>
        <v>0</v>
      </c>
    </row>
    <row r="21" spans="1:53" s="65" customFormat="1" x14ac:dyDescent="0.25">
      <c r="A21" s="18">
        <v>3</v>
      </c>
      <c r="B21" s="83" t="s">
        <v>322</v>
      </c>
      <c r="C21" s="83"/>
      <c r="D21" s="18"/>
      <c r="E21" s="18"/>
      <c r="F21" s="18"/>
      <c r="G21" s="18"/>
      <c r="H21" s="18"/>
      <c r="I21" s="18"/>
      <c r="J21" s="134">
        <f t="shared" si="1"/>
        <v>0</v>
      </c>
      <c r="K21" s="144"/>
      <c r="L21" s="18">
        <f t="shared" si="2"/>
        <v>0</v>
      </c>
      <c r="M21" s="134">
        <f t="shared" si="3"/>
        <v>0</v>
      </c>
      <c r="N21" s="103"/>
      <c r="O21" s="18">
        <f t="shared" si="4"/>
        <v>0</v>
      </c>
      <c r="P21" s="135"/>
      <c r="Q21" s="18"/>
      <c r="R21" s="135"/>
      <c r="S21" s="18"/>
      <c r="T21" s="104"/>
      <c r="U21" s="18"/>
      <c r="V21" s="144"/>
      <c r="W21" s="18"/>
      <c r="X21" s="18"/>
      <c r="Y21" s="103"/>
      <c r="Z21" s="18">
        <f t="shared" si="5"/>
        <v>0</v>
      </c>
      <c r="AA21" s="18"/>
      <c r="AB21" s="18"/>
      <c r="AC21" s="18"/>
      <c r="AD21" s="18"/>
      <c r="AE21" s="18"/>
      <c r="AF21" s="18"/>
      <c r="AG21" s="18"/>
      <c r="AH21" s="18"/>
      <c r="AI21" s="18"/>
      <c r="AJ21" s="18"/>
      <c r="AK21" s="18"/>
      <c r="AL21" s="18"/>
      <c r="AM21" s="18"/>
      <c r="AN21" s="18"/>
      <c r="AO21" s="18"/>
      <c r="AP21" s="197"/>
      <c r="AQ21" s="197">
        <f t="shared" si="6"/>
        <v>0</v>
      </c>
      <c r="AR21" s="197">
        <f t="shared" si="7"/>
        <v>0</v>
      </c>
      <c r="AS21" s="197">
        <f t="shared" si="8"/>
        <v>0</v>
      </c>
      <c r="AT21" s="198">
        <f t="shared" si="9"/>
        <v>0</v>
      </c>
      <c r="AU21" s="197">
        <f t="shared" si="18"/>
        <v>0</v>
      </c>
      <c r="AV21" s="197">
        <f t="shared" si="17"/>
        <v>0</v>
      </c>
      <c r="AW21" s="197"/>
      <c r="AX21" s="197">
        <f t="shared" si="11"/>
        <v>0</v>
      </c>
      <c r="AY21" s="197">
        <f t="shared" si="12"/>
        <v>0</v>
      </c>
      <c r="AZ21" s="197">
        <f t="shared" si="13"/>
        <v>0</v>
      </c>
      <c r="BA21" s="197">
        <f t="shared" si="14"/>
        <v>0</v>
      </c>
    </row>
    <row r="22" spans="1:53" s="157" customFormat="1" ht="38.25" x14ac:dyDescent="0.25">
      <c r="A22" s="84"/>
      <c r="B22" s="85" t="s">
        <v>525</v>
      </c>
      <c r="C22" s="85"/>
      <c r="D22" s="84"/>
      <c r="E22" s="84"/>
      <c r="F22" s="84"/>
      <c r="G22" s="84"/>
      <c r="H22" s="84">
        <f>SUM(H23:H25)</f>
        <v>0</v>
      </c>
      <c r="I22" s="84">
        <f t="shared" ref="I22:BA22" si="19">SUM(I23:I25)</f>
        <v>0</v>
      </c>
      <c r="J22" s="84">
        <f t="shared" si="19"/>
        <v>0</v>
      </c>
      <c r="K22" s="84">
        <f t="shared" si="19"/>
        <v>0</v>
      </c>
      <c r="L22" s="84">
        <f t="shared" si="19"/>
        <v>0</v>
      </c>
      <c r="M22" s="84">
        <f t="shared" si="19"/>
        <v>0</v>
      </c>
      <c r="N22" s="84">
        <f t="shared" si="19"/>
        <v>0</v>
      </c>
      <c r="O22" s="84">
        <f t="shared" si="19"/>
        <v>0</v>
      </c>
      <c r="P22" s="163">
        <f t="shared" si="19"/>
        <v>0</v>
      </c>
      <c r="Q22" s="84">
        <f t="shared" si="19"/>
        <v>0</v>
      </c>
      <c r="R22" s="163">
        <f t="shared" si="19"/>
        <v>0</v>
      </c>
      <c r="S22" s="84">
        <f t="shared" si="19"/>
        <v>0</v>
      </c>
      <c r="T22" s="126"/>
      <c r="U22" s="84">
        <f t="shared" si="19"/>
        <v>0</v>
      </c>
      <c r="V22" s="84">
        <f t="shared" si="19"/>
        <v>0</v>
      </c>
      <c r="W22" s="84">
        <f t="shared" si="19"/>
        <v>0</v>
      </c>
      <c r="X22" s="84">
        <f t="shared" si="19"/>
        <v>0</v>
      </c>
      <c r="Y22" s="84">
        <f t="shared" si="19"/>
        <v>0</v>
      </c>
      <c r="Z22" s="84">
        <f t="shared" si="19"/>
        <v>0</v>
      </c>
      <c r="AA22" s="84">
        <f t="shared" si="19"/>
        <v>0</v>
      </c>
      <c r="AB22" s="84">
        <f t="shared" si="19"/>
        <v>0</v>
      </c>
      <c r="AC22" s="84">
        <f t="shared" si="19"/>
        <v>0</v>
      </c>
      <c r="AD22" s="84">
        <f t="shared" si="19"/>
        <v>0</v>
      </c>
      <c r="AE22" s="84">
        <f t="shared" si="19"/>
        <v>0</v>
      </c>
      <c r="AF22" s="84">
        <f t="shared" si="19"/>
        <v>0</v>
      </c>
      <c r="AG22" s="84">
        <f t="shared" si="19"/>
        <v>0</v>
      </c>
      <c r="AH22" s="84">
        <f t="shared" si="19"/>
        <v>0</v>
      </c>
      <c r="AI22" s="84">
        <f t="shared" si="19"/>
        <v>0</v>
      </c>
      <c r="AJ22" s="84">
        <f t="shared" si="19"/>
        <v>0</v>
      </c>
      <c r="AK22" s="84">
        <f t="shared" si="19"/>
        <v>0</v>
      </c>
      <c r="AL22" s="84">
        <f t="shared" si="19"/>
        <v>0</v>
      </c>
      <c r="AM22" s="84">
        <f t="shared" si="19"/>
        <v>0</v>
      </c>
      <c r="AN22" s="84">
        <f t="shared" si="19"/>
        <v>0</v>
      </c>
      <c r="AO22" s="84">
        <f t="shared" si="19"/>
        <v>0</v>
      </c>
      <c r="AP22" s="196">
        <f t="shared" si="19"/>
        <v>0</v>
      </c>
      <c r="AQ22" s="196">
        <f t="shared" si="19"/>
        <v>0</v>
      </c>
      <c r="AR22" s="196">
        <f t="shared" si="19"/>
        <v>0</v>
      </c>
      <c r="AS22" s="196">
        <f t="shared" si="19"/>
        <v>0</v>
      </c>
      <c r="AT22" s="196">
        <f t="shared" si="19"/>
        <v>0</v>
      </c>
      <c r="AU22" s="196">
        <f t="shared" si="19"/>
        <v>0</v>
      </c>
      <c r="AV22" s="196">
        <f t="shared" si="19"/>
        <v>0</v>
      </c>
      <c r="AW22" s="196">
        <f t="shared" si="19"/>
        <v>0</v>
      </c>
      <c r="AX22" s="196">
        <f t="shared" si="19"/>
        <v>0</v>
      </c>
      <c r="AY22" s="196">
        <f t="shared" si="19"/>
        <v>0</v>
      </c>
      <c r="AZ22" s="196">
        <f t="shared" si="19"/>
        <v>0</v>
      </c>
      <c r="BA22" s="196">
        <f t="shared" si="19"/>
        <v>0</v>
      </c>
    </row>
    <row r="23" spans="1:53" s="65" customFormat="1" x14ac:dyDescent="0.25">
      <c r="A23" s="18">
        <v>1</v>
      </c>
      <c r="B23" s="83" t="s">
        <v>322</v>
      </c>
      <c r="C23" s="83"/>
      <c r="D23" s="18"/>
      <c r="E23" s="18"/>
      <c r="F23" s="18"/>
      <c r="G23" s="18"/>
      <c r="H23" s="18"/>
      <c r="I23" s="18"/>
      <c r="J23" s="134">
        <f t="shared" si="1"/>
        <v>0</v>
      </c>
      <c r="K23" s="144"/>
      <c r="L23" s="18">
        <f t="shared" si="2"/>
        <v>0</v>
      </c>
      <c r="M23" s="134">
        <f t="shared" si="3"/>
        <v>0</v>
      </c>
      <c r="N23" s="103"/>
      <c r="O23" s="18">
        <f t="shared" si="4"/>
        <v>0</v>
      </c>
      <c r="P23" s="135"/>
      <c r="Q23" s="18"/>
      <c r="R23" s="135"/>
      <c r="S23" s="18"/>
      <c r="T23" s="104"/>
      <c r="U23" s="18"/>
      <c r="V23" s="144"/>
      <c r="W23" s="18"/>
      <c r="X23" s="18"/>
      <c r="Y23" s="103"/>
      <c r="Z23" s="18">
        <f t="shared" si="5"/>
        <v>0</v>
      </c>
      <c r="AA23" s="18"/>
      <c r="AB23" s="18"/>
      <c r="AC23" s="18"/>
      <c r="AD23" s="18"/>
      <c r="AE23" s="18"/>
      <c r="AF23" s="18"/>
      <c r="AG23" s="18"/>
      <c r="AH23" s="18"/>
      <c r="AI23" s="18"/>
      <c r="AJ23" s="18"/>
      <c r="AK23" s="18"/>
      <c r="AL23" s="18"/>
      <c r="AM23" s="18"/>
      <c r="AN23" s="18"/>
      <c r="AO23" s="18"/>
      <c r="AP23" s="197"/>
      <c r="AQ23" s="197">
        <f t="shared" si="6"/>
        <v>0</v>
      </c>
      <c r="AR23" s="197">
        <f t="shared" si="7"/>
        <v>0</v>
      </c>
      <c r="AS23" s="197">
        <f t="shared" si="8"/>
        <v>0</v>
      </c>
      <c r="AT23" s="198">
        <f t="shared" si="9"/>
        <v>0</v>
      </c>
      <c r="AU23" s="197">
        <f t="shared" si="18"/>
        <v>0</v>
      </c>
      <c r="AV23" s="197">
        <f t="shared" ref="AV23:AV25" si="20">((AR23+AU23)/12*2)</f>
        <v>0</v>
      </c>
      <c r="AW23" s="197"/>
      <c r="AX23" s="197">
        <f t="shared" si="11"/>
        <v>0</v>
      </c>
      <c r="AY23" s="197">
        <f t="shared" si="12"/>
        <v>0</v>
      </c>
      <c r="AZ23" s="197">
        <f t="shared" si="13"/>
        <v>0</v>
      </c>
      <c r="BA23" s="197">
        <f t="shared" si="14"/>
        <v>0</v>
      </c>
    </row>
    <row r="24" spans="1:53" s="65" customFormat="1" x14ac:dyDescent="0.25">
      <c r="A24" s="18">
        <v>2</v>
      </c>
      <c r="B24" s="83" t="s">
        <v>322</v>
      </c>
      <c r="C24" s="83"/>
      <c r="D24" s="18"/>
      <c r="E24" s="18"/>
      <c r="F24" s="18"/>
      <c r="G24" s="18"/>
      <c r="H24" s="18"/>
      <c r="I24" s="18"/>
      <c r="J24" s="134">
        <f t="shared" si="1"/>
        <v>0</v>
      </c>
      <c r="K24" s="144"/>
      <c r="L24" s="18">
        <f t="shared" si="2"/>
        <v>0</v>
      </c>
      <c r="M24" s="134">
        <f t="shared" si="3"/>
        <v>0</v>
      </c>
      <c r="N24" s="103"/>
      <c r="O24" s="18">
        <f t="shared" si="4"/>
        <v>0</v>
      </c>
      <c r="P24" s="135"/>
      <c r="Q24" s="18"/>
      <c r="R24" s="135"/>
      <c r="S24" s="18"/>
      <c r="T24" s="104"/>
      <c r="U24" s="18"/>
      <c r="V24" s="144"/>
      <c r="W24" s="18"/>
      <c r="X24" s="18"/>
      <c r="Y24" s="103"/>
      <c r="Z24" s="18">
        <f t="shared" si="5"/>
        <v>0</v>
      </c>
      <c r="AA24" s="18"/>
      <c r="AB24" s="18"/>
      <c r="AC24" s="18"/>
      <c r="AD24" s="18"/>
      <c r="AE24" s="18"/>
      <c r="AF24" s="18"/>
      <c r="AG24" s="18"/>
      <c r="AH24" s="18"/>
      <c r="AI24" s="18"/>
      <c r="AJ24" s="18"/>
      <c r="AK24" s="18"/>
      <c r="AL24" s="18"/>
      <c r="AM24" s="18"/>
      <c r="AN24" s="18"/>
      <c r="AO24" s="18"/>
      <c r="AP24" s="197"/>
      <c r="AQ24" s="197">
        <f t="shared" si="6"/>
        <v>0</v>
      </c>
      <c r="AR24" s="197">
        <f t="shared" si="7"/>
        <v>0</v>
      </c>
      <c r="AS24" s="197">
        <f t="shared" si="8"/>
        <v>0</v>
      </c>
      <c r="AT24" s="198">
        <f t="shared" si="9"/>
        <v>0</v>
      </c>
      <c r="AU24" s="197">
        <f t="shared" si="18"/>
        <v>0</v>
      </c>
      <c r="AV24" s="197">
        <f t="shared" si="20"/>
        <v>0</v>
      </c>
      <c r="AW24" s="197"/>
      <c r="AX24" s="197">
        <f t="shared" si="11"/>
        <v>0</v>
      </c>
      <c r="AY24" s="197">
        <f t="shared" si="12"/>
        <v>0</v>
      </c>
      <c r="AZ24" s="197">
        <f t="shared" si="13"/>
        <v>0</v>
      </c>
      <c r="BA24" s="197">
        <f t="shared" si="14"/>
        <v>0</v>
      </c>
    </row>
    <row r="25" spans="1:53" s="65" customFormat="1" x14ac:dyDescent="0.25">
      <c r="A25" s="18">
        <v>3</v>
      </c>
      <c r="B25" s="83" t="s">
        <v>322</v>
      </c>
      <c r="C25" s="83"/>
      <c r="D25" s="18"/>
      <c r="E25" s="18"/>
      <c r="F25" s="18"/>
      <c r="G25" s="18"/>
      <c r="H25" s="18"/>
      <c r="I25" s="18"/>
      <c r="J25" s="134">
        <f t="shared" si="1"/>
        <v>0</v>
      </c>
      <c r="K25" s="144"/>
      <c r="L25" s="18">
        <f t="shared" si="2"/>
        <v>0</v>
      </c>
      <c r="M25" s="134">
        <f t="shared" si="3"/>
        <v>0</v>
      </c>
      <c r="N25" s="103"/>
      <c r="O25" s="18">
        <f t="shared" si="4"/>
        <v>0</v>
      </c>
      <c r="P25" s="135"/>
      <c r="Q25" s="18"/>
      <c r="R25" s="135"/>
      <c r="S25" s="18"/>
      <c r="T25" s="104"/>
      <c r="U25" s="18"/>
      <c r="V25" s="144"/>
      <c r="W25" s="18"/>
      <c r="X25" s="18"/>
      <c r="Y25" s="103"/>
      <c r="Z25" s="18">
        <f t="shared" si="5"/>
        <v>0</v>
      </c>
      <c r="AA25" s="18"/>
      <c r="AB25" s="18"/>
      <c r="AC25" s="18"/>
      <c r="AD25" s="18"/>
      <c r="AE25" s="18"/>
      <c r="AF25" s="18"/>
      <c r="AG25" s="18"/>
      <c r="AH25" s="18"/>
      <c r="AI25" s="18"/>
      <c r="AJ25" s="18"/>
      <c r="AK25" s="18"/>
      <c r="AL25" s="18"/>
      <c r="AM25" s="18"/>
      <c r="AN25" s="18"/>
      <c r="AO25" s="18"/>
      <c r="AP25" s="197"/>
      <c r="AQ25" s="197">
        <f t="shared" si="6"/>
        <v>0</v>
      </c>
      <c r="AR25" s="197">
        <f t="shared" si="7"/>
        <v>0</v>
      </c>
      <c r="AS25" s="197">
        <f t="shared" si="8"/>
        <v>0</v>
      </c>
      <c r="AT25" s="198">
        <f t="shared" si="9"/>
        <v>0</v>
      </c>
      <c r="AU25" s="197">
        <f t="shared" si="18"/>
        <v>0</v>
      </c>
      <c r="AV25" s="197">
        <f t="shared" si="20"/>
        <v>0</v>
      </c>
      <c r="AW25" s="197"/>
      <c r="AX25" s="197">
        <f t="shared" si="11"/>
        <v>0</v>
      </c>
      <c r="AY25" s="197">
        <f t="shared" si="12"/>
        <v>0</v>
      </c>
      <c r="AZ25" s="197">
        <f t="shared" si="13"/>
        <v>0</v>
      </c>
      <c r="BA25" s="197">
        <f t="shared" si="14"/>
        <v>0</v>
      </c>
    </row>
    <row r="26" spans="1:53" s="157" customFormat="1" ht="54" customHeight="1" x14ac:dyDescent="0.25">
      <c r="A26" s="84"/>
      <c r="B26" s="85" t="s">
        <v>321</v>
      </c>
      <c r="C26" s="85"/>
      <c r="D26" s="84"/>
      <c r="E26" s="84"/>
      <c r="F26" s="84"/>
      <c r="G26" s="84"/>
      <c r="H26" s="84">
        <f t="shared" ref="H26:AZ26" si="21">SUM(H27:H29)</f>
        <v>0</v>
      </c>
      <c r="I26" s="84">
        <f t="shared" si="21"/>
        <v>0</v>
      </c>
      <c r="J26" s="84">
        <f t="shared" si="21"/>
        <v>0</v>
      </c>
      <c r="K26" s="84">
        <f t="shared" si="21"/>
        <v>0</v>
      </c>
      <c r="L26" s="84">
        <f t="shared" si="21"/>
        <v>0</v>
      </c>
      <c r="M26" s="84">
        <f t="shared" si="21"/>
        <v>0</v>
      </c>
      <c r="N26" s="84">
        <f t="shared" si="21"/>
        <v>0</v>
      </c>
      <c r="O26" s="84">
        <f t="shared" si="21"/>
        <v>0</v>
      </c>
      <c r="P26" s="163">
        <f t="shared" si="21"/>
        <v>0</v>
      </c>
      <c r="Q26" s="84">
        <f t="shared" si="21"/>
        <v>0</v>
      </c>
      <c r="R26" s="163">
        <f t="shared" si="21"/>
        <v>0</v>
      </c>
      <c r="S26" s="84">
        <f t="shared" si="21"/>
        <v>0</v>
      </c>
      <c r="T26" s="126"/>
      <c r="U26" s="84">
        <f t="shared" si="21"/>
        <v>0</v>
      </c>
      <c r="V26" s="84">
        <f t="shared" si="21"/>
        <v>0</v>
      </c>
      <c r="W26" s="84">
        <f t="shared" si="21"/>
        <v>0</v>
      </c>
      <c r="X26" s="84">
        <f t="shared" si="21"/>
        <v>0</v>
      </c>
      <c r="Y26" s="84">
        <f t="shared" si="21"/>
        <v>0</v>
      </c>
      <c r="Z26" s="84">
        <f t="shared" si="21"/>
        <v>0</v>
      </c>
      <c r="AA26" s="84">
        <f t="shared" si="21"/>
        <v>0</v>
      </c>
      <c r="AB26" s="84">
        <f t="shared" si="21"/>
        <v>0</v>
      </c>
      <c r="AC26" s="84">
        <f t="shared" si="21"/>
        <v>0</v>
      </c>
      <c r="AD26" s="84">
        <f t="shared" si="21"/>
        <v>0</v>
      </c>
      <c r="AE26" s="84">
        <f t="shared" si="21"/>
        <v>0</v>
      </c>
      <c r="AF26" s="84">
        <f t="shared" si="21"/>
        <v>0</v>
      </c>
      <c r="AG26" s="84">
        <f t="shared" si="21"/>
        <v>0</v>
      </c>
      <c r="AH26" s="84">
        <f t="shared" si="21"/>
        <v>0</v>
      </c>
      <c r="AI26" s="84">
        <f t="shared" si="21"/>
        <v>0</v>
      </c>
      <c r="AJ26" s="84">
        <f t="shared" si="21"/>
        <v>0</v>
      </c>
      <c r="AK26" s="84">
        <f t="shared" si="21"/>
        <v>0</v>
      </c>
      <c r="AL26" s="84">
        <f t="shared" si="21"/>
        <v>0</v>
      </c>
      <c r="AM26" s="84">
        <f t="shared" si="21"/>
        <v>0</v>
      </c>
      <c r="AN26" s="84">
        <f t="shared" si="21"/>
        <v>0</v>
      </c>
      <c r="AO26" s="84">
        <f t="shared" si="21"/>
        <v>0</v>
      </c>
      <c r="AP26" s="196">
        <f t="shared" si="21"/>
        <v>0</v>
      </c>
      <c r="AQ26" s="196">
        <f t="shared" si="21"/>
        <v>0</v>
      </c>
      <c r="AR26" s="196">
        <f t="shared" si="21"/>
        <v>0</v>
      </c>
      <c r="AS26" s="196">
        <f t="shared" si="21"/>
        <v>0</v>
      </c>
      <c r="AT26" s="196">
        <f t="shared" si="21"/>
        <v>0</v>
      </c>
      <c r="AU26" s="196">
        <f t="shared" si="21"/>
        <v>0</v>
      </c>
      <c r="AV26" s="196">
        <f t="shared" si="21"/>
        <v>0</v>
      </c>
      <c r="AW26" s="196">
        <f t="shared" si="21"/>
        <v>0</v>
      </c>
      <c r="AX26" s="196">
        <f t="shared" si="21"/>
        <v>0</v>
      </c>
      <c r="AY26" s="196">
        <f t="shared" si="21"/>
        <v>0</v>
      </c>
      <c r="AZ26" s="196">
        <f t="shared" si="21"/>
        <v>0</v>
      </c>
      <c r="BA26" s="196">
        <f>SUM(BA27:BA29)</f>
        <v>0</v>
      </c>
    </row>
    <row r="27" spans="1:53" s="65" customFormat="1" ht="14.25" customHeight="1" x14ac:dyDescent="0.25">
      <c r="A27" s="18">
        <v>1</v>
      </c>
      <c r="B27" s="83" t="s">
        <v>322</v>
      </c>
      <c r="C27" s="83"/>
      <c r="D27" s="18"/>
      <c r="E27" s="18"/>
      <c r="F27" s="18"/>
      <c r="G27" s="18"/>
      <c r="H27" s="18"/>
      <c r="I27" s="18"/>
      <c r="J27" s="134">
        <f t="shared" si="1"/>
        <v>0</v>
      </c>
      <c r="K27" s="144"/>
      <c r="L27" s="18">
        <f t="shared" si="2"/>
        <v>0</v>
      </c>
      <c r="M27" s="134">
        <f t="shared" si="3"/>
        <v>0</v>
      </c>
      <c r="N27" s="103"/>
      <c r="O27" s="18">
        <f t="shared" si="4"/>
        <v>0</v>
      </c>
      <c r="P27" s="135"/>
      <c r="Q27" s="18"/>
      <c r="R27" s="135"/>
      <c r="S27" s="18"/>
      <c r="T27" s="104"/>
      <c r="U27" s="18"/>
      <c r="V27" s="144"/>
      <c r="W27" s="18"/>
      <c r="X27" s="18"/>
      <c r="Y27" s="103"/>
      <c r="Z27" s="18">
        <f t="shared" si="5"/>
        <v>0</v>
      </c>
      <c r="AA27" s="18"/>
      <c r="AB27" s="18"/>
      <c r="AC27" s="18"/>
      <c r="AD27" s="18"/>
      <c r="AE27" s="18"/>
      <c r="AF27" s="18"/>
      <c r="AG27" s="18"/>
      <c r="AH27" s="18"/>
      <c r="AI27" s="18"/>
      <c r="AJ27" s="18"/>
      <c r="AK27" s="18"/>
      <c r="AL27" s="18"/>
      <c r="AM27" s="18"/>
      <c r="AN27" s="18"/>
      <c r="AO27" s="18"/>
      <c r="AP27" s="197"/>
      <c r="AQ27" s="197">
        <f t="shared" si="6"/>
        <v>0</v>
      </c>
      <c r="AR27" s="197">
        <f t="shared" si="7"/>
        <v>0</v>
      </c>
      <c r="AS27" s="197">
        <f t="shared" si="8"/>
        <v>0</v>
      </c>
      <c r="AT27" s="198">
        <f t="shared" si="9"/>
        <v>0</v>
      </c>
      <c r="AU27" s="197">
        <f t="shared" si="18"/>
        <v>0</v>
      </c>
      <c r="AV27" s="197">
        <f t="shared" ref="AV27:AV29" si="22">((AR27+AU27)/12*2)</f>
        <v>0</v>
      </c>
      <c r="AW27" s="197"/>
      <c r="AX27" s="197">
        <f t="shared" si="11"/>
        <v>0</v>
      </c>
      <c r="AY27" s="197">
        <f t="shared" si="12"/>
        <v>0</v>
      </c>
      <c r="AZ27" s="197">
        <f t="shared" si="13"/>
        <v>0</v>
      </c>
      <c r="BA27" s="197">
        <f t="shared" si="14"/>
        <v>0</v>
      </c>
    </row>
    <row r="28" spans="1:53" s="65" customFormat="1" ht="14.45" customHeight="1" x14ac:dyDescent="0.25">
      <c r="A28" s="18">
        <v>2</v>
      </c>
      <c r="B28" s="83" t="s">
        <v>322</v>
      </c>
      <c r="C28" s="83"/>
      <c r="D28" s="18"/>
      <c r="E28" s="18"/>
      <c r="F28" s="18"/>
      <c r="G28" s="18"/>
      <c r="H28" s="18"/>
      <c r="I28" s="18"/>
      <c r="J28" s="134">
        <f t="shared" si="1"/>
        <v>0</v>
      </c>
      <c r="K28" s="144"/>
      <c r="L28" s="18">
        <f t="shared" si="2"/>
        <v>0</v>
      </c>
      <c r="M28" s="134">
        <f t="shared" si="3"/>
        <v>0</v>
      </c>
      <c r="N28" s="103"/>
      <c r="O28" s="18">
        <f t="shared" si="4"/>
        <v>0</v>
      </c>
      <c r="P28" s="135"/>
      <c r="Q28" s="18"/>
      <c r="R28" s="135"/>
      <c r="S28" s="18"/>
      <c r="T28" s="104"/>
      <c r="U28" s="18"/>
      <c r="V28" s="144"/>
      <c r="W28" s="18"/>
      <c r="X28" s="18"/>
      <c r="Y28" s="103"/>
      <c r="Z28" s="18">
        <f t="shared" si="5"/>
        <v>0</v>
      </c>
      <c r="AA28" s="18"/>
      <c r="AB28" s="18"/>
      <c r="AC28" s="18"/>
      <c r="AD28" s="18"/>
      <c r="AE28" s="18"/>
      <c r="AF28" s="18"/>
      <c r="AG28" s="18"/>
      <c r="AH28" s="18"/>
      <c r="AI28" s="18"/>
      <c r="AJ28" s="18"/>
      <c r="AK28" s="18"/>
      <c r="AL28" s="18"/>
      <c r="AM28" s="18"/>
      <c r="AN28" s="18"/>
      <c r="AO28" s="18"/>
      <c r="AP28" s="197"/>
      <c r="AQ28" s="197">
        <f t="shared" si="6"/>
        <v>0</v>
      </c>
      <c r="AR28" s="197">
        <f t="shared" si="7"/>
        <v>0</v>
      </c>
      <c r="AS28" s="197">
        <f t="shared" si="8"/>
        <v>0</v>
      </c>
      <c r="AT28" s="198">
        <f t="shared" si="9"/>
        <v>0</v>
      </c>
      <c r="AU28" s="197">
        <f t="shared" si="18"/>
        <v>0</v>
      </c>
      <c r="AV28" s="197">
        <f t="shared" si="22"/>
        <v>0</v>
      </c>
      <c r="AW28" s="197"/>
      <c r="AX28" s="197">
        <f t="shared" si="11"/>
        <v>0</v>
      </c>
      <c r="AY28" s="197">
        <f t="shared" si="12"/>
        <v>0</v>
      </c>
      <c r="AZ28" s="197">
        <f t="shared" si="13"/>
        <v>0</v>
      </c>
      <c r="BA28" s="197">
        <f t="shared" si="14"/>
        <v>0</v>
      </c>
    </row>
    <row r="29" spans="1:53" s="65" customFormat="1" ht="14.45" customHeight="1" x14ac:dyDescent="0.25">
      <c r="A29" s="18">
        <v>3</v>
      </c>
      <c r="B29" s="83" t="s">
        <v>322</v>
      </c>
      <c r="C29" s="83"/>
      <c r="D29" s="18"/>
      <c r="E29" s="18"/>
      <c r="F29" s="18"/>
      <c r="G29" s="18"/>
      <c r="H29" s="18"/>
      <c r="I29" s="18"/>
      <c r="J29" s="134">
        <f t="shared" si="1"/>
        <v>0</v>
      </c>
      <c r="K29" s="144"/>
      <c r="L29" s="18">
        <f t="shared" si="2"/>
        <v>0</v>
      </c>
      <c r="M29" s="134">
        <f t="shared" si="3"/>
        <v>0</v>
      </c>
      <c r="N29" s="103"/>
      <c r="O29" s="18">
        <f t="shared" si="4"/>
        <v>0</v>
      </c>
      <c r="P29" s="135"/>
      <c r="Q29" s="18"/>
      <c r="R29" s="135"/>
      <c r="S29" s="18"/>
      <c r="T29" s="104"/>
      <c r="U29" s="18"/>
      <c r="V29" s="144"/>
      <c r="W29" s="18"/>
      <c r="X29" s="18"/>
      <c r="Y29" s="103"/>
      <c r="Z29" s="18">
        <f t="shared" si="5"/>
        <v>0</v>
      </c>
      <c r="AA29" s="18"/>
      <c r="AB29" s="18"/>
      <c r="AC29" s="18"/>
      <c r="AD29" s="18"/>
      <c r="AE29" s="18"/>
      <c r="AF29" s="18"/>
      <c r="AG29" s="18"/>
      <c r="AH29" s="18"/>
      <c r="AI29" s="18"/>
      <c r="AJ29" s="18"/>
      <c r="AK29" s="18"/>
      <c r="AL29" s="18"/>
      <c r="AM29" s="18"/>
      <c r="AN29" s="18"/>
      <c r="AO29" s="18"/>
      <c r="AP29" s="197"/>
      <c r="AQ29" s="197">
        <f t="shared" si="6"/>
        <v>0</v>
      </c>
      <c r="AR29" s="197">
        <f>ROUND(AQ29/2,1)</f>
        <v>0</v>
      </c>
      <c r="AS29" s="197">
        <f t="shared" si="8"/>
        <v>0</v>
      </c>
      <c r="AT29" s="198">
        <f t="shared" si="9"/>
        <v>0</v>
      </c>
      <c r="AU29" s="197">
        <f t="shared" si="18"/>
        <v>0</v>
      </c>
      <c r="AV29" s="197">
        <f t="shared" si="22"/>
        <v>0</v>
      </c>
      <c r="AW29" s="197"/>
      <c r="AX29" s="197">
        <f t="shared" si="11"/>
        <v>0</v>
      </c>
      <c r="AY29" s="197">
        <f t="shared" si="12"/>
        <v>0</v>
      </c>
      <c r="AZ29" s="197">
        <f t="shared" si="13"/>
        <v>0</v>
      </c>
      <c r="BA29" s="197">
        <f t="shared" si="14"/>
        <v>0</v>
      </c>
    </row>
    <row r="30" spans="1:53" s="21" customFormat="1" ht="14.25" customHeight="1" x14ac:dyDescent="0.2">
      <c r="A30" s="291" t="s">
        <v>526</v>
      </c>
      <c r="B30" s="292"/>
      <c r="C30" s="292"/>
      <c r="D30" s="292"/>
      <c r="E30" s="292"/>
      <c r="F30" s="292"/>
      <c r="G30" s="292"/>
      <c r="H30" s="292"/>
      <c r="I30" s="292"/>
      <c r="J30" s="292"/>
      <c r="K30" s="292"/>
      <c r="L30" s="292"/>
      <c r="M30" s="292"/>
      <c r="N30" s="292"/>
      <c r="O30" s="292"/>
      <c r="P30" s="292"/>
      <c r="Q30" s="292"/>
      <c r="R30" s="292"/>
      <c r="S30" s="292"/>
      <c r="T30" s="292"/>
      <c r="U30" s="292"/>
      <c r="V30" s="292"/>
      <c r="W30" s="292"/>
      <c r="X30" s="108"/>
      <c r="Y30" s="20"/>
      <c r="Z30" s="108"/>
      <c r="AA30" s="20"/>
      <c r="AB30" s="20"/>
      <c r="AC30" s="109"/>
      <c r="AD30" s="108"/>
      <c r="AE30" s="20"/>
      <c r="AF30" s="106"/>
      <c r="AG30" s="20"/>
      <c r="AH30" s="110"/>
      <c r="AI30" s="111"/>
      <c r="AJ30" s="20"/>
      <c r="AK30" s="106"/>
      <c r="AL30" s="20"/>
      <c r="AM30" s="112"/>
      <c r="AN30" s="113"/>
      <c r="AO30" s="20"/>
      <c r="AP30" s="114"/>
      <c r="AQ30" s="20"/>
      <c r="AR30" s="112"/>
      <c r="AS30" s="124"/>
      <c r="AT30" s="20"/>
      <c r="AU30" s="20"/>
      <c r="AV30" s="20"/>
      <c r="AW30" s="20"/>
    </row>
    <row r="31" spans="1:53" s="21" customFormat="1" ht="14.25" customHeight="1" x14ac:dyDescent="0.2">
      <c r="A31" s="284" t="s">
        <v>527</v>
      </c>
      <c r="B31" s="284"/>
      <c r="C31" s="284"/>
      <c r="D31" s="284"/>
      <c r="E31" s="284"/>
      <c r="F31" s="284"/>
      <c r="G31" s="284"/>
      <c r="H31" s="284"/>
      <c r="I31" s="284"/>
      <c r="J31" s="284"/>
      <c r="K31" s="284"/>
      <c r="L31" s="284"/>
      <c r="M31" s="284"/>
      <c r="N31" s="284"/>
      <c r="O31" s="284"/>
      <c r="P31" s="284"/>
      <c r="Q31" s="284"/>
      <c r="R31" s="284"/>
      <c r="S31" s="284"/>
      <c r="T31" s="284"/>
      <c r="U31" s="284"/>
      <c r="V31" s="284"/>
      <c r="W31" s="284"/>
      <c r="X31" s="108"/>
      <c r="Y31" s="20"/>
      <c r="Z31" s="108"/>
      <c r="AA31" s="20"/>
      <c r="AB31" s="20"/>
      <c r="AC31" s="109"/>
      <c r="AD31" s="108"/>
      <c r="AE31" s="20"/>
      <c r="AF31" s="106"/>
      <c r="AG31" s="20"/>
      <c r="AH31" s="110"/>
      <c r="AI31" s="111"/>
      <c r="AJ31" s="20"/>
      <c r="AK31" s="106"/>
      <c r="AL31" s="20"/>
      <c r="AM31" s="112"/>
      <c r="AN31" s="113"/>
      <c r="AO31" s="20"/>
      <c r="AP31" s="114"/>
      <c r="AQ31" s="20"/>
      <c r="AR31" s="112"/>
      <c r="AS31" s="124"/>
      <c r="AT31" s="20"/>
      <c r="AU31" s="20"/>
      <c r="AV31" s="20"/>
      <c r="AW31" s="20"/>
    </row>
    <row r="32" spans="1:53" s="65" customFormat="1" ht="25.5" x14ac:dyDescent="0.25">
      <c r="A32" s="129" t="s">
        <v>165</v>
      </c>
      <c r="B32" s="48"/>
      <c r="C32" s="48"/>
      <c r="D32" s="48"/>
      <c r="E32" s="48"/>
      <c r="F32" s="48"/>
      <c r="G32" s="48"/>
      <c r="H32" s="48"/>
      <c r="I32" s="48"/>
      <c r="J32" s="48"/>
      <c r="K32" s="48"/>
      <c r="L32" s="48"/>
      <c r="M32" s="48"/>
      <c r="N32" s="48"/>
      <c r="O32" s="48"/>
      <c r="P32" s="48"/>
      <c r="Q32" s="48"/>
      <c r="R32" s="48"/>
      <c r="S32" s="48"/>
      <c r="T32" s="48"/>
      <c r="U32" s="48"/>
      <c r="V32" s="49"/>
      <c r="W32" s="49"/>
      <c r="X32" s="49"/>
      <c r="Y32" s="49"/>
      <c r="Z32" s="49"/>
      <c r="AA32" s="49"/>
      <c r="AB32" s="20"/>
      <c r="AC32" s="20"/>
      <c r="AD32" s="20"/>
      <c r="AE32" s="20"/>
      <c r="AF32" s="20"/>
      <c r="AG32" s="20"/>
      <c r="AH32" s="20"/>
      <c r="AI32" s="20"/>
      <c r="AJ32" s="20"/>
      <c r="AK32" s="20"/>
      <c r="AL32" s="20"/>
      <c r="AM32" s="20"/>
      <c r="AN32" s="21"/>
      <c r="AO32" s="21"/>
      <c r="AP32" s="21"/>
      <c r="AQ32" s="21"/>
      <c r="AR32" s="19"/>
      <c r="AS32" s="20"/>
      <c r="AT32" s="20"/>
      <c r="AU32" s="124"/>
      <c r="AV32" s="124"/>
      <c r="AW32" s="124"/>
      <c r="AX32" s="124"/>
      <c r="AY32" s="21"/>
      <c r="AZ32" s="37"/>
      <c r="BA32" s="20"/>
    </row>
    <row r="33" spans="1:58" s="6" customFormat="1" ht="12.75" customHeight="1" x14ac:dyDescent="0.2">
      <c r="A33" s="285" t="s">
        <v>430</v>
      </c>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19"/>
      <c r="AC33" s="19"/>
      <c r="AD33" s="19"/>
      <c r="AE33" s="19"/>
      <c r="AF33" s="19"/>
      <c r="AG33" s="20"/>
      <c r="AH33" s="20"/>
      <c r="AI33" s="20"/>
      <c r="AJ33" s="38"/>
      <c r="AK33" s="20"/>
      <c r="AL33" s="22"/>
      <c r="AM33" s="23"/>
      <c r="AN33" s="23"/>
      <c r="AO33" s="23"/>
      <c r="AP33" s="23"/>
      <c r="AQ33" s="19"/>
      <c r="AR33" s="19"/>
      <c r="AS33" s="19"/>
      <c r="AT33" s="19"/>
      <c r="AU33" s="19"/>
      <c r="AV33" s="19"/>
      <c r="AW33" s="19"/>
      <c r="AX33" s="19"/>
      <c r="AY33" s="19"/>
      <c r="AZ33" s="20"/>
      <c r="BA33" s="20"/>
    </row>
    <row r="34" spans="1:58" s="20" customFormat="1" ht="16.5" customHeight="1" x14ac:dyDescent="0.2">
      <c r="A34" s="285" t="s">
        <v>529</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119"/>
      <c r="Z34" s="119"/>
      <c r="AA34" s="119"/>
      <c r="AB34" s="119"/>
      <c r="AC34" s="119"/>
      <c r="AD34" s="119"/>
      <c r="AE34" s="119"/>
      <c r="AF34" s="119"/>
      <c r="AG34" s="19"/>
      <c r="AH34" s="19"/>
      <c r="AI34" s="19"/>
      <c r="AJ34" s="19"/>
      <c r="AK34" s="19"/>
      <c r="AL34" s="19"/>
      <c r="AM34" s="19"/>
      <c r="AQ34" s="38"/>
      <c r="AS34" s="22"/>
      <c r="AT34" s="23"/>
      <c r="AU34" s="23"/>
      <c r="AV34" s="23"/>
      <c r="AW34" s="23"/>
      <c r="AX34" s="23"/>
      <c r="AY34" s="19"/>
      <c r="AZ34" s="19"/>
      <c r="BA34" s="19"/>
      <c r="BB34" s="19"/>
      <c r="BC34" s="19"/>
      <c r="BD34" s="19"/>
      <c r="BE34" s="19"/>
      <c r="BF34" s="19"/>
    </row>
    <row r="35" spans="1:58" s="20" customFormat="1" ht="16.5" customHeight="1" x14ac:dyDescent="0.2">
      <c r="A35" s="286" t="s">
        <v>432</v>
      </c>
      <c r="B35" s="286"/>
      <c r="C35" s="286"/>
      <c r="D35" s="286"/>
      <c r="E35" s="286"/>
      <c r="F35" s="286"/>
      <c r="G35" s="286"/>
      <c r="H35" s="286"/>
      <c r="I35" s="286"/>
      <c r="J35" s="286"/>
      <c r="K35" s="286"/>
      <c r="L35" s="286"/>
      <c r="M35" s="286"/>
      <c r="N35" s="286"/>
      <c r="O35" s="286"/>
      <c r="P35" s="286"/>
      <c r="Q35" s="286"/>
      <c r="R35" s="286"/>
      <c r="S35" s="286"/>
      <c r="T35" s="286"/>
      <c r="U35" s="286"/>
      <c r="V35" s="286"/>
      <c r="W35" s="286"/>
      <c r="X35" s="286"/>
      <c r="Y35" s="119"/>
      <c r="Z35" s="119"/>
      <c r="AA35" s="119"/>
      <c r="AB35" s="119"/>
      <c r="AC35" s="119"/>
      <c r="AD35" s="119"/>
      <c r="AE35" s="119"/>
      <c r="AF35" s="119"/>
      <c r="AG35" s="19"/>
      <c r="AH35" s="19"/>
      <c r="AI35" s="19"/>
      <c r="AJ35" s="19"/>
      <c r="AK35" s="19"/>
      <c r="AL35" s="19"/>
      <c r="AM35" s="19"/>
      <c r="AQ35" s="38"/>
      <c r="AS35" s="22"/>
      <c r="AT35" s="23"/>
      <c r="AU35" s="23"/>
      <c r="AV35" s="23"/>
      <c r="AW35" s="23"/>
      <c r="AX35" s="23"/>
      <c r="AY35" s="19"/>
      <c r="AZ35" s="19"/>
      <c r="BA35" s="19"/>
      <c r="BB35" s="19"/>
      <c r="BC35" s="19"/>
      <c r="BD35" s="19"/>
      <c r="BE35" s="19"/>
      <c r="BF35" s="19"/>
    </row>
    <row r="36" spans="1:58" s="21" customFormat="1" ht="12.75" customHeight="1" x14ac:dyDescent="0.2">
      <c r="A36" s="286"/>
      <c r="B36" s="286"/>
      <c r="C36" s="286"/>
      <c r="D36" s="286"/>
      <c r="E36" s="286"/>
      <c r="F36" s="286"/>
      <c r="G36" s="286"/>
      <c r="H36" s="286"/>
      <c r="I36" s="286"/>
      <c r="J36" s="286"/>
      <c r="K36" s="286"/>
      <c r="L36" s="286"/>
      <c r="M36" s="286"/>
      <c r="N36" s="286"/>
      <c r="O36" s="286"/>
      <c r="P36" s="286"/>
      <c r="Q36" s="286"/>
      <c r="R36" s="286"/>
      <c r="S36" s="286"/>
      <c r="T36" s="286"/>
      <c r="U36" s="286"/>
      <c r="V36" s="286"/>
      <c r="W36" s="286"/>
      <c r="X36" s="286"/>
      <c r="Y36" s="20"/>
      <c r="Z36" s="20"/>
      <c r="AA36" s="20"/>
      <c r="AB36" s="20"/>
      <c r="AC36" s="20"/>
      <c r="AD36" s="20"/>
      <c r="AE36" s="20"/>
    </row>
    <row r="37" spans="1:58" s="21" customFormat="1" ht="25.5" customHeight="1" x14ac:dyDescent="0.2">
      <c r="A37" s="286" t="s">
        <v>433</v>
      </c>
      <c r="B37" s="286"/>
      <c r="C37" s="286"/>
      <c r="D37" s="286"/>
      <c r="E37" s="286"/>
      <c r="F37" s="286"/>
      <c r="G37" s="286"/>
      <c r="H37" s="286"/>
      <c r="I37" s="286"/>
      <c r="J37" s="286"/>
      <c r="K37" s="286"/>
      <c r="L37" s="286"/>
      <c r="M37" s="286"/>
      <c r="N37" s="286"/>
      <c r="O37" s="286"/>
      <c r="P37" s="286"/>
      <c r="Q37" s="286"/>
      <c r="R37" s="286"/>
      <c r="S37" s="286"/>
      <c r="T37" s="286"/>
      <c r="U37" s="286"/>
      <c r="V37" s="286"/>
      <c r="W37" s="286"/>
      <c r="X37" s="286"/>
      <c r="Y37" s="20"/>
      <c r="Z37" s="20"/>
      <c r="AA37" s="20"/>
      <c r="AB37" s="20"/>
      <c r="AC37" s="20"/>
      <c r="AD37" s="20"/>
      <c r="AE37" s="20"/>
    </row>
    <row r="38" spans="1:58" s="21" customFormat="1" ht="19.5" customHeight="1" x14ac:dyDescent="0.2">
      <c r="A38" s="286" t="s">
        <v>534</v>
      </c>
      <c r="B38" s="286"/>
      <c r="C38" s="286"/>
      <c r="D38" s="286"/>
      <c r="E38" s="286"/>
      <c r="F38" s="286"/>
      <c r="G38" s="286"/>
      <c r="H38" s="286"/>
      <c r="I38" s="286"/>
      <c r="J38" s="286"/>
      <c r="K38" s="286"/>
      <c r="L38" s="286"/>
      <c r="M38" s="286"/>
      <c r="N38" s="286"/>
      <c r="O38" s="286"/>
      <c r="P38" s="286"/>
      <c r="Q38" s="286"/>
      <c r="R38" s="286"/>
      <c r="S38" s="286"/>
      <c r="T38" s="286"/>
      <c r="U38" s="286"/>
      <c r="V38" s="286"/>
      <c r="W38" s="286"/>
      <c r="X38" s="286"/>
      <c r="Y38" s="20"/>
      <c r="Z38" s="20"/>
      <c r="AA38" s="20"/>
      <c r="AB38" s="20"/>
      <c r="AC38" s="20"/>
      <c r="AD38" s="20"/>
      <c r="AE38" s="20"/>
    </row>
    <row r="39" spans="1:58" s="21" customFormat="1" ht="12.75" customHeight="1" x14ac:dyDescent="0.2">
      <c r="A39" s="120"/>
      <c r="B39" s="120"/>
      <c r="C39" s="120"/>
      <c r="D39" s="120"/>
      <c r="E39" s="120"/>
      <c r="F39" s="120"/>
      <c r="G39" s="120"/>
      <c r="H39" s="120"/>
      <c r="I39" s="120"/>
      <c r="J39" s="120"/>
      <c r="K39" s="120"/>
      <c r="L39" s="120"/>
      <c r="M39" s="120"/>
      <c r="N39" s="120"/>
      <c r="O39" s="120"/>
      <c r="P39" s="120"/>
      <c r="Q39" s="120"/>
      <c r="R39" s="120"/>
      <c r="S39" s="120"/>
      <c r="T39" s="120"/>
      <c r="U39" s="120"/>
      <c r="V39" s="120"/>
      <c r="W39" s="120"/>
      <c r="X39" s="120"/>
      <c r="Y39" s="20"/>
      <c r="Z39" s="20"/>
      <c r="AA39" s="20"/>
      <c r="AB39" s="20"/>
      <c r="AC39" s="20"/>
      <c r="AD39" s="20"/>
      <c r="AE39" s="20"/>
    </row>
    <row r="40" spans="1:58" s="181" customFormat="1" ht="17.25" customHeight="1" x14ac:dyDescent="0.25">
      <c r="A40" s="298" t="s">
        <v>542</v>
      </c>
      <c r="B40" s="298"/>
      <c r="C40" s="298"/>
      <c r="D40" s="298"/>
      <c r="E40" s="298"/>
      <c r="F40" s="298"/>
      <c r="G40" s="304"/>
      <c r="H40" s="304"/>
      <c r="I40" s="304"/>
      <c r="J40" s="304"/>
      <c r="K40" s="180"/>
      <c r="L40" s="48"/>
      <c r="M40" s="48"/>
      <c r="N40" s="48"/>
      <c r="O40" s="299"/>
      <c r="P40" s="299"/>
      <c r="Q40" s="299"/>
      <c r="R40" s="179"/>
      <c r="S40" s="179"/>
      <c r="T40" s="179"/>
      <c r="U40" s="179"/>
      <c r="V40" s="179"/>
      <c r="W40" s="179"/>
      <c r="X40" s="179"/>
    </row>
    <row r="41" spans="1:58" s="181" customFormat="1" ht="16.899999999999999" customHeight="1" x14ac:dyDescent="0.25">
      <c r="A41" s="179"/>
      <c r="B41" s="179"/>
      <c r="C41" s="179"/>
      <c r="D41" s="179"/>
      <c r="E41" s="179"/>
      <c r="F41" s="179"/>
      <c r="G41" s="301" t="s">
        <v>538</v>
      </c>
      <c r="H41" s="301"/>
      <c r="I41" s="301"/>
      <c r="J41" s="301"/>
      <c r="K41" s="179"/>
      <c r="L41" s="179"/>
      <c r="M41" s="179"/>
      <c r="N41" s="179"/>
      <c r="O41" s="301" t="s">
        <v>539</v>
      </c>
      <c r="P41" s="301"/>
      <c r="Q41" s="301"/>
      <c r="R41" s="179"/>
      <c r="S41" s="179"/>
      <c r="T41" s="179"/>
      <c r="U41" s="179"/>
      <c r="V41" s="179"/>
      <c r="W41" s="179"/>
      <c r="X41" s="179"/>
    </row>
    <row r="42" spans="1:58" customFormat="1" ht="18.75" customHeight="1" x14ac:dyDescent="0.25">
      <c r="A42" s="298" t="s">
        <v>540</v>
      </c>
      <c r="B42" s="298"/>
      <c r="C42" s="298"/>
      <c r="D42" s="298"/>
      <c r="E42" s="298"/>
      <c r="F42" s="298"/>
      <c r="G42" s="299"/>
      <c r="H42" s="299"/>
      <c r="I42" s="299"/>
      <c r="J42" s="299"/>
      <c r="K42" s="182"/>
      <c r="L42" s="299"/>
      <c r="M42" s="299"/>
      <c r="N42" s="299"/>
      <c r="O42" s="299"/>
      <c r="P42" s="183"/>
      <c r="Q42" s="300"/>
      <c r="R42" s="300"/>
      <c r="S42" s="300"/>
      <c r="T42" s="300"/>
      <c r="U42" s="178"/>
      <c r="V42" s="178"/>
      <c r="W42" s="178"/>
      <c r="X42" s="178"/>
      <c r="Y42" s="178"/>
      <c r="Z42" s="178"/>
    </row>
    <row r="43" spans="1:58" customFormat="1" ht="15" customHeight="1" x14ac:dyDescent="0.25">
      <c r="A43" s="184"/>
      <c r="B43" s="184"/>
      <c r="C43" s="184"/>
      <c r="D43" s="184"/>
      <c r="E43" s="78"/>
      <c r="F43" s="78"/>
      <c r="G43" s="301" t="s">
        <v>538</v>
      </c>
      <c r="H43" s="301"/>
      <c r="I43" s="301"/>
      <c r="J43" s="301"/>
      <c r="K43" s="185"/>
      <c r="L43" s="302" t="s">
        <v>304</v>
      </c>
      <c r="M43" s="302"/>
      <c r="N43" s="302"/>
      <c r="O43" s="302"/>
      <c r="P43" s="138"/>
      <c r="Q43" s="303" t="s">
        <v>541</v>
      </c>
      <c r="R43" s="303"/>
      <c r="S43" s="303"/>
      <c r="T43" s="303"/>
      <c r="U43" s="178"/>
      <c r="V43" s="178"/>
      <c r="W43" s="178"/>
      <c r="X43" s="178"/>
      <c r="Y43" s="178"/>
      <c r="Z43" s="178"/>
    </row>
    <row r="44" spans="1:58" s="21" customFormat="1" ht="12.75" x14ac:dyDescent="0.2"/>
    <row r="45" spans="1:58" x14ac:dyDescent="0.25">
      <c r="I45" s="20"/>
      <c r="J45" s="20"/>
      <c r="K45" s="20"/>
      <c r="L45" s="20"/>
      <c r="M45" s="20"/>
      <c r="Z45" s="20"/>
    </row>
    <row r="46" spans="1:58" x14ac:dyDescent="0.25">
      <c r="V46" s="24"/>
    </row>
    <row r="47" spans="1:58" x14ac:dyDescent="0.25">
      <c r="V47" s="20"/>
      <c r="W47" s="20"/>
      <c r="X47" s="20"/>
      <c r="Y47" s="20"/>
      <c r="AA47" s="20"/>
    </row>
    <row r="48" spans="1:58" x14ac:dyDescent="0.25">
      <c r="V48" s="20"/>
      <c r="W48" s="20"/>
      <c r="X48" s="20"/>
      <c r="Y48" s="20"/>
      <c r="AA48" s="20"/>
    </row>
  </sheetData>
  <mergeCells count="78">
    <mergeCell ref="A38:X38"/>
    <mergeCell ref="AN2:BA2"/>
    <mergeCell ref="A7:A12"/>
    <mergeCell ref="B7:B12"/>
    <mergeCell ref="C7:C12"/>
    <mergeCell ref="D7:D12"/>
    <mergeCell ref="E7:E12"/>
    <mergeCell ref="G7:G12"/>
    <mergeCell ref="H7:H12"/>
    <mergeCell ref="I7:J9"/>
    <mergeCell ref="K7:L11"/>
    <mergeCell ref="M7:M12"/>
    <mergeCell ref="AZ7:AZ12"/>
    <mergeCell ref="BA7:BA12"/>
    <mergeCell ref="AY7:AY12"/>
    <mergeCell ref="AN7:AO11"/>
    <mergeCell ref="AU7:AU12"/>
    <mergeCell ref="AV7:AV12"/>
    <mergeCell ref="AX7:AX12"/>
    <mergeCell ref="AH8:AI11"/>
    <mergeCell ref="AJ8:AJ12"/>
    <mergeCell ref="AK8:AK12"/>
    <mergeCell ref="AW7:AW12"/>
    <mergeCell ref="AS9:AS12"/>
    <mergeCell ref="AQ7:AQ12"/>
    <mergeCell ref="AP7:AP12"/>
    <mergeCell ref="AT9:AT12"/>
    <mergeCell ref="AR7:AR12"/>
    <mergeCell ref="AS7:AT8"/>
    <mergeCell ref="F7:F12"/>
    <mergeCell ref="AA7:AM7"/>
    <mergeCell ref="AF8:AG10"/>
    <mergeCell ref="P7:Q11"/>
    <mergeCell ref="R7:S11"/>
    <mergeCell ref="T7:U10"/>
    <mergeCell ref="AG11:AG12"/>
    <mergeCell ref="J10:J12"/>
    <mergeCell ref="T11:T12"/>
    <mergeCell ref="U11:U12"/>
    <mergeCell ref="AF11:AF12"/>
    <mergeCell ref="AA8:AA12"/>
    <mergeCell ref="AB8:AB12"/>
    <mergeCell ref="AC8:AC12"/>
    <mergeCell ref="AD8:AD12"/>
    <mergeCell ref="AE8:AE12"/>
    <mergeCell ref="A40:F40"/>
    <mergeCell ref="G40:J40"/>
    <mergeCell ref="O40:Q40"/>
    <mergeCell ref="G41:J41"/>
    <mergeCell ref="O41:Q41"/>
    <mergeCell ref="A42:F42"/>
    <mergeCell ref="G42:J42"/>
    <mergeCell ref="L42:O42"/>
    <mergeCell ref="Q42:T42"/>
    <mergeCell ref="G43:J43"/>
    <mergeCell ref="L43:O43"/>
    <mergeCell ref="Q43:T43"/>
    <mergeCell ref="F1:AB1"/>
    <mergeCell ref="F2:Z2"/>
    <mergeCell ref="B4:D4"/>
    <mergeCell ref="F5:I5"/>
    <mergeCell ref="A30:W30"/>
    <mergeCell ref="V7:W11"/>
    <mergeCell ref="X7:X12"/>
    <mergeCell ref="Y7:Z11"/>
    <mergeCell ref="N7:O11"/>
    <mergeCell ref="AA2:AM2"/>
    <mergeCell ref="E4:I4"/>
    <mergeCell ref="K4:K5"/>
    <mergeCell ref="U5:V5"/>
    <mergeCell ref="AL8:AL12"/>
    <mergeCell ref="AM8:AM12"/>
    <mergeCell ref="I10:I12"/>
    <mergeCell ref="A31:W31"/>
    <mergeCell ref="A33:AA33"/>
    <mergeCell ref="A34:X34"/>
    <mergeCell ref="A35:X36"/>
    <mergeCell ref="A37:X37"/>
  </mergeCells>
  <dataValidations count="1">
    <dataValidation type="custom" allowBlank="1" showInputMessage="1" showErrorMessage="1" error="Cuantumul plăţilor cu caracter stimulator din contul veniturilor colectate plătite lunar unui angajat nu va depăşi salariul lui de funcţie, ţinîndu-se cont de sporul pentru vechime în muncă." sqref="AW15:AW17 AW19:AW21 AW23:AW25 AW27:AW29">
      <formula1>(M15+O15)*12&gt;=AW15</formula1>
    </dataValidation>
  </dataValidations>
  <printOptions horizontalCentered="1"/>
  <pageMargins left="0.31496062992126" right="0.31496062992126" top="0.66929133858267698" bottom="0.66929133858267698" header="0.31496062992126" footer="0.31496062992126"/>
  <pageSetup paperSize="8" scale="67" fitToHeight="80" orientation="landscape" r:id="rId1"/>
  <headerFooter>
    <oddHeader>&amp;RTabelul nr.2</oddHeader>
    <oddFooter>&amp;R&amp;"-,полужирный"&amp;8&amp;P</oddFooter>
  </headerFooter>
  <colBreaks count="1" manualBreakCount="1">
    <brk id="32" max="43" man="1"/>
  </col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F35"/>
  <sheetViews>
    <sheetView showZeros="0" view="pageBreakPreview" zoomScale="70" zoomScaleNormal="71" zoomScaleSheetLayoutView="70" workbookViewId="0">
      <selection activeCell="J19" sqref="J19"/>
    </sheetView>
  </sheetViews>
  <sheetFormatPr defaultColWidth="8.85546875" defaultRowHeight="12.75" x14ac:dyDescent="0.2"/>
  <cols>
    <col min="1" max="1" width="6.140625" style="21" customWidth="1"/>
    <col min="2" max="2" width="14" style="21" customWidth="1"/>
    <col min="3" max="4" width="5.5703125" style="21" customWidth="1"/>
    <col min="5" max="5" width="8.28515625" style="21" customWidth="1"/>
    <col min="6" max="6" width="9.5703125" style="21" customWidth="1"/>
    <col min="7" max="7" width="5.7109375" style="21" customWidth="1"/>
    <col min="8" max="8" width="7.7109375" style="21" customWidth="1"/>
    <col min="9" max="9" width="8.5703125" style="21" customWidth="1"/>
    <col min="10" max="10" width="7.140625" style="21" customWidth="1"/>
    <col min="11" max="11" width="10.7109375" style="21" customWidth="1"/>
    <col min="12" max="12" width="18.7109375" style="21" customWidth="1"/>
    <col min="13" max="13" width="6.7109375" style="21" customWidth="1"/>
    <col min="14" max="14" width="7.28515625" style="21" customWidth="1"/>
    <col min="15" max="15" width="11.28515625" style="21" customWidth="1"/>
    <col min="16" max="16" width="11.42578125" style="21" customWidth="1"/>
    <col min="17" max="17" width="8.85546875" style="21" customWidth="1"/>
    <col min="18" max="18" width="11.5703125" style="21" customWidth="1"/>
    <col min="19" max="19" width="9.140625" style="21" customWidth="1"/>
    <col min="20" max="21" width="12" style="21" customWidth="1"/>
    <col min="22" max="23" width="11.28515625" style="21" customWidth="1"/>
    <col min="24" max="24" width="11.5703125" style="21" customWidth="1"/>
    <col min="25" max="25" width="10.85546875" style="21" customWidth="1"/>
    <col min="26" max="16384" width="8.85546875" style="21"/>
  </cols>
  <sheetData>
    <row r="1" spans="1:57" s="25" customFormat="1" ht="36.75" customHeight="1" x14ac:dyDescent="0.25">
      <c r="A1" s="356" t="s">
        <v>550</v>
      </c>
      <c r="B1" s="356"/>
      <c r="C1" s="356"/>
      <c r="D1" s="356"/>
      <c r="E1" s="356"/>
      <c r="F1" s="356"/>
      <c r="G1" s="356"/>
      <c r="H1" s="356"/>
      <c r="I1" s="356"/>
      <c r="J1" s="356"/>
      <c r="K1" s="356"/>
      <c r="L1" s="356"/>
      <c r="M1" s="356"/>
      <c r="N1" s="356"/>
      <c r="O1" s="356"/>
      <c r="P1" s="356"/>
      <c r="Q1" s="356"/>
      <c r="R1" s="356"/>
      <c r="S1" s="356"/>
      <c r="T1" s="356"/>
      <c r="U1" s="356"/>
      <c r="V1" s="356"/>
      <c r="W1" s="356"/>
      <c r="X1" s="356"/>
      <c r="Y1" s="356"/>
      <c r="Z1" s="27"/>
      <c r="AA1" s="26"/>
      <c r="AB1" s="26"/>
      <c r="AC1" s="26"/>
      <c r="AD1" s="26"/>
      <c r="AE1" s="26"/>
      <c r="AF1" s="26"/>
      <c r="AG1" s="26"/>
      <c r="AH1" s="26"/>
    </row>
    <row r="2" spans="1:57" x14ac:dyDescent="0.2">
      <c r="A2" s="357" t="s">
        <v>135</v>
      </c>
      <c r="B2" s="357"/>
      <c r="C2" s="357"/>
      <c r="D2" s="357"/>
      <c r="E2" s="357"/>
      <c r="F2" s="357"/>
      <c r="G2" s="357"/>
      <c r="H2" s="357"/>
      <c r="I2" s="357"/>
      <c r="J2" s="357"/>
      <c r="K2" s="357"/>
      <c r="L2" s="357"/>
      <c r="M2" s="357"/>
      <c r="N2" s="357"/>
      <c r="O2" s="357"/>
      <c r="P2" s="357"/>
      <c r="Q2" s="357"/>
      <c r="R2" s="357"/>
      <c r="S2" s="357"/>
      <c r="T2" s="357"/>
      <c r="U2" s="357"/>
      <c r="V2" s="357"/>
      <c r="W2" s="357"/>
      <c r="X2" s="357"/>
      <c r="Y2" s="357"/>
      <c r="Z2" s="53"/>
      <c r="AA2" s="53"/>
      <c r="AB2" s="53"/>
      <c r="AC2" s="53"/>
      <c r="AD2" s="53"/>
      <c r="AE2" s="53"/>
      <c r="AF2" s="54"/>
      <c r="AG2" s="54"/>
      <c r="AH2" s="54"/>
      <c r="AI2" s="54"/>
      <c r="AJ2" s="55"/>
      <c r="AK2" s="55"/>
      <c r="AL2" s="55"/>
      <c r="AM2" s="55"/>
      <c r="AN2" s="55"/>
      <c r="AO2" s="20"/>
      <c r="AP2" s="20"/>
      <c r="AQ2" s="20"/>
      <c r="AR2" s="20"/>
      <c r="AS2" s="20"/>
      <c r="AT2" s="20"/>
      <c r="AU2" s="20"/>
      <c r="AV2" s="20"/>
      <c r="AW2" s="20"/>
      <c r="AX2" s="20"/>
      <c r="AY2" s="20"/>
      <c r="AZ2" s="20"/>
      <c r="BA2" s="20"/>
      <c r="BB2" s="20"/>
      <c r="BC2" s="20"/>
      <c r="BD2" s="20"/>
      <c r="BE2" s="20"/>
    </row>
    <row r="3" spans="1:57" x14ac:dyDescent="0.2">
      <c r="A3" s="101"/>
      <c r="B3" s="101"/>
      <c r="C3" s="101"/>
      <c r="D3" s="101"/>
      <c r="E3" s="101"/>
      <c r="F3" s="101"/>
      <c r="G3" s="101"/>
      <c r="H3" s="101"/>
      <c r="I3" s="101"/>
      <c r="J3" s="101"/>
      <c r="K3" s="101"/>
      <c r="L3" s="101"/>
      <c r="M3" s="101"/>
      <c r="N3" s="101"/>
      <c r="O3" s="101"/>
      <c r="P3" s="101"/>
      <c r="Q3" s="101"/>
      <c r="R3" s="101"/>
      <c r="S3" s="101"/>
      <c r="T3" s="101"/>
      <c r="U3" s="101"/>
      <c r="V3" s="101"/>
      <c r="W3" s="101"/>
      <c r="X3" s="101"/>
      <c r="Y3" s="101"/>
      <c r="Z3" s="53"/>
      <c r="AA3" s="53"/>
      <c r="AB3" s="53"/>
      <c r="AC3" s="53"/>
      <c r="AD3" s="53"/>
      <c r="AE3" s="53"/>
      <c r="AF3" s="54"/>
      <c r="AG3" s="54"/>
      <c r="AH3" s="54"/>
      <c r="AI3" s="54"/>
      <c r="AJ3" s="55"/>
      <c r="AK3" s="55"/>
      <c r="AL3" s="55"/>
      <c r="AM3" s="55"/>
      <c r="AN3" s="55"/>
      <c r="AO3" s="20"/>
      <c r="AP3" s="20"/>
      <c r="AQ3" s="20"/>
      <c r="AR3" s="20"/>
      <c r="AS3" s="20"/>
      <c r="AT3" s="20"/>
      <c r="AU3" s="20"/>
      <c r="AV3" s="20"/>
      <c r="AW3" s="20"/>
      <c r="AX3" s="20"/>
      <c r="AY3" s="20"/>
      <c r="AZ3" s="20"/>
      <c r="BA3" s="20"/>
      <c r="BB3" s="20"/>
      <c r="BC3" s="20"/>
      <c r="BD3" s="20"/>
      <c r="BE3" s="20"/>
    </row>
    <row r="4" spans="1:57" x14ac:dyDescent="0.2">
      <c r="A4" s="101"/>
      <c r="B4" s="350" t="s">
        <v>307</v>
      </c>
      <c r="C4" s="350"/>
      <c r="D4" s="79"/>
      <c r="E4" s="289" t="s">
        <v>308</v>
      </c>
      <c r="F4" s="289"/>
      <c r="G4" s="289"/>
      <c r="H4" s="289"/>
      <c r="I4" s="289"/>
      <c r="J4" s="75"/>
      <c r="K4" s="296" t="s">
        <v>164</v>
      </c>
      <c r="L4" s="80" t="s">
        <v>309</v>
      </c>
      <c r="M4" s="80" t="s">
        <v>310</v>
      </c>
      <c r="N4" s="80" t="s">
        <v>311</v>
      </c>
      <c r="O4" s="80" t="s">
        <v>312</v>
      </c>
      <c r="P4" s="80" t="s">
        <v>313</v>
      </c>
      <c r="Q4" s="101"/>
      <c r="R4" s="101"/>
      <c r="S4" s="101"/>
      <c r="T4" s="101"/>
      <c r="U4" s="101"/>
      <c r="V4" s="101"/>
      <c r="W4" s="101"/>
      <c r="X4" s="101"/>
      <c r="Y4" s="101"/>
      <c r="Z4" s="53"/>
      <c r="AA4" s="53"/>
      <c r="AB4" s="53"/>
      <c r="AC4" s="53"/>
      <c r="AD4" s="53"/>
      <c r="AE4" s="53"/>
      <c r="AF4" s="54"/>
      <c r="AG4" s="54"/>
      <c r="AH4" s="54"/>
      <c r="AI4" s="54"/>
      <c r="AJ4" s="55"/>
      <c r="AK4" s="55"/>
      <c r="AL4" s="55"/>
      <c r="AM4" s="55"/>
      <c r="AN4" s="55"/>
      <c r="AO4" s="20"/>
      <c r="AP4" s="20"/>
      <c r="AQ4" s="20"/>
      <c r="AR4" s="20"/>
      <c r="AS4" s="20"/>
      <c r="AT4" s="20"/>
      <c r="AU4" s="20"/>
      <c r="AV4" s="20"/>
      <c r="AW4" s="20"/>
      <c r="AX4" s="20"/>
      <c r="AY4" s="20"/>
      <c r="AZ4" s="20"/>
      <c r="BA4" s="20"/>
      <c r="BB4" s="20"/>
      <c r="BC4" s="20"/>
      <c r="BD4" s="20"/>
      <c r="BE4" s="20"/>
    </row>
    <row r="5" spans="1:57" x14ac:dyDescent="0.2">
      <c r="B5" s="350"/>
      <c r="C5" s="350"/>
      <c r="D5" s="32"/>
      <c r="E5" s="290" t="s">
        <v>314</v>
      </c>
      <c r="F5" s="290"/>
      <c r="G5" s="290"/>
      <c r="H5" s="290"/>
      <c r="I5" s="290"/>
      <c r="J5" s="32"/>
      <c r="K5" s="296"/>
      <c r="L5" s="81"/>
      <c r="M5" s="81"/>
      <c r="N5" s="81"/>
      <c r="O5" s="81"/>
      <c r="P5" s="81"/>
      <c r="S5" s="29"/>
      <c r="T5" s="29"/>
      <c r="U5" s="29"/>
      <c r="W5" s="29"/>
      <c r="X5" s="30"/>
    </row>
    <row r="6" spans="1:57" x14ac:dyDescent="0.2">
      <c r="A6" s="32"/>
      <c r="B6" s="32"/>
      <c r="C6" s="32"/>
      <c r="D6" s="32"/>
      <c r="E6" s="32"/>
      <c r="F6" s="32"/>
      <c r="G6" s="32"/>
      <c r="H6" s="34"/>
      <c r="I6" s="32"/>
      <c r="J6" s="32"/>
      <c r="K6" s="34"/>
      <c r="L6" s="34"/>
      <c r="M6" s="32"/>
      <c r="P6" s="34"/>
      <c r="Q6" s="32"/>
      <c r="R6" s="32"/>
      <c r="S6" s="32"/>
      <c r="T6" s="32"/>
      <c r="U6" s="32"/>
      <c r="V6" s="32"/>
      <c r="W6" s="32"/>
      <c r="X6" s="32"/>
      <c r="Y6" s="32"/>
    </row>
    <row r="7" spans="1:57" ht="49.5" customHeight="1" x14ac:dyDescent="0.2">
      <c r="A7" s="363" t="s">
        <v>2</v>
      </c>
      <c r="B7" s="363" t="s">
        <v>88</v>
      </c>
      <c r="C7" s="305" t="s">
        <v>0</v>
      </c>
      <c r="D7" s="305" t="s">
        <v>38</v>
      </c>
      <c r="E7" s="363" t="s">
        <v>225</v>
      </c>
      <c r="F7" s="363"/>
      <c r="G7" s="293" t="s">
        <v>226</v>
      </c>
      <c r="H7" s="293"/>
      <c r="I7" s="293" t="s">
        <v>195</v>
      </c>
      <c r="J7" s="293"/>
      <c r="K7" s="293" t="s">
        <v>180</v>
      </c>
      <c r="L7" s="317" t="s">
        <v>284</v>
      </c>
      <c r="M7" s="293" t="s">
        <v>315</v>
      </c>
      <c r="N7" s="293"/>
      <c r="O7" s="363" t="s">
        <v>162</v>
      </c>
      <c r="P7" s="317" t="s">
        <v>227</v>
      </c>
      <c r="Q7" s="293" t="s">
        <v>228</v>
      </c>
      <c r="R7" s="293"/>
      <c r="S7" s="293" t="s">
        <v>187</v>
      </c>
      <c r="T7" s="317" t="s">
        <v>286</v>
      </c>
      <c r="U7" s="317" t="s">
        <v>403</v>
      </c>
      <c r="V7" s="363" t="s">
        <v>163</v>
      </c>
      <c r="W7" s="320" t="s">
        <v>200</v>
      </c>
      <c r="X7" s="320" t="s">
        <v>201</v>
      </c>
      <c r="Y7" s="317" t="s">
        <v>192</v>
      </c>
    </row>
    <row r="8" spans="1:57" ht="21.6" customHeight="1" x14ac:dyDescent="0.2">
      <c r="A8" s="363"/>
      <c r="B8" s="363"/>
      <c r="C8" s="305"/>
      <c r="D8" s="305"/>
      <c r="E8" s="363"/>
      <c r="F8" s="363"/>
      <c r="G8" s="293"/>
      <c r="H8" s="293"/>
      <c r="I8" s="293"/>
      <c r="J8" s="293"/>
      <c r="K8" s="293"/>
      <c r="L8" s="319"/>
      <c r="M8" s="293"/>
      <c r="N8" s="293"/>
      <c r="O8" s="363"/>
      <c r="P8" s="319"/>
      <c r="Q8" s="317" t="s">
        <v>15</v>
      </c>
      <c r="R8" s="320" t="s">
        <v>306</v>
      </c>
      <c r="S8" s="293"/>
      <c r="T8" s="319"/>
      <c r="U8" s="319"/>
      <c r="V8" s="363"/>
      <c r="W8" s="320"/>
      <c r="X8" s="320"/>
      <c r="Y8" s="319"/>
    </row>
    <row r="9" spans="1:57" ht="25.15" customHeight="1" x14ac:dyDescent="0.2">
      <c r="A9" s="363"/>
      <c r="B9" s="363"/>
      <c r="C9" s="305"/>
      <c r="D9" s="305"/>
      <c r="E9" s="363"/>
      <c r="F9" s="363"/>
      <c r="G9" s="293"/>
      <c r="H9" s="293"/>
      <c r="I9" s="293"/>
      <c r="J9" s="293"/>
      <c r="K9" s="293"/>
      <c r="L9" s="319"/>
      <c r="M9" s="293"/>
      <c r="N9" s="293"/>
      <c r="O9" s="363"/>
      <c r="P9" s="319"/>
      <c r="Q9" s="319"/>
      <c r="R9" s="320"/>
      <c r="S9" s="293"/>
      <c r="T9" s="319"/>
      <c r="U9" s="319"/>
      <c r="V9" s="363"/>
      <c r="W9" s="320"/>
      <c r="X9" s="320"/>
      <c r="Y9" s="319"/>
    </row>
    <row r="10" spans="1:57" ht="22.5" customHeight="1" x14ac:dyDescent="0.2">
      <c r="A10" s="363"/>
      <c r="B10" s="363"/>
      <c r="C10" s="305"/>
      <c r="D10" s="305"/>
      <c r="E10" s="363" t="s">
        <v>21</v>
      </c>
      <c r="F10" s="363" t="s">
        <v>22</v>
      </c>
      <c r="G10" s="293"/>
      <c r="H10" s="293"/>
      <c r="I10" s="293"/>
      <c r="J10" s="293"/>
      <c r="K10" s="293"/>
      <c r="L10" s="319"/>
      <c r="M10" s="293"/>
      <c r="N10" s="293"/>
      <c r="O10" s="363"/>
      <c r="P10" s="319"/>
      <c r="Q10" s="319"/>
      <c r="R10" s="320"/>
      <c r="S10" s="293"/>
      <c r="T10" s="319"/>
      <c r="U10" s="319"/>
      <c r="V10" s="363"/>
      <c r="W10" s="320"/>
      <c r="X10" s="320"/>
      <c r="Y10" s="319"/>
    </row>
    <row r="11" spans="1:57" ht="18.75" customHeight="1" x14ac:dyDescent="0.2">
      <c r="A11" s="363"/>
      <c r="B11" s="363"/>
      <c r="C11" s="305"/>
      <c r="D11" s="305"/>
      <c r="E11" s="363"/>
      <c r="F11" s="363"/>
      <c r="G11" s="293"/>
      <c r="H11" s="293"/>
      <c r="I11" s="324" t="s">
        <v>10</v>
      </c>
      <c r="J11" s="293" t="s">
        <v>142</v>
      </c>
      <c r="K11" s="293"/>
      <c r="L11" s="319"/>
      <c r="M11" s="293"/>
      <c r="N11" s="293"/>
      <c r="O11" s="363"/>
      <c r="P11" s="319"/>
      <c r="Q11" s="319"/>
      <c r="R11" s="320"/>
      <c r="S11" s="293"/>
      <c r="T11" s="319"/>
      <c r="U11" s="319"/>
      <c r="V11" s="363"/>
      <c r="W11" s="320"/>
      <c r="X11" s="320"/>
      <c r="Y11" s="319"/>
    </row>
    <row r="12" spans="1:57" ht="42" customHeight="1" x14ac:dyDescent="0.2">
      <c r="A12" s="363"/>
      <c r="B12" s="363"/>
      <c r="C12" s="305"/>
      <c r="D12" s="305"/>
      <c r="E12" s="363"/>
      <c r="F12" s="363"/>
      <c r="G12" s="92" t="s">
        <v>1</v>
      </c>
      <c r="H12" s="92" t="s">
        <v>142</v>
      </c>
      <c r="I12" s="324"/>
      <c r="J12" s="293"/>
      <c r="K12" s="293"/>
      <c r="L12" s="318"/>
      <c r="M12" s="99" t="s">
        <v>1</v>
      </c>
      <c r="N12" s="92" t="s">
        <v>142</v>
      </c>
      <c r="O12" s="363"/>
      <c r="P12" s="318"/>
      <c r="Q12" s="318"/>
      <c r="R12" s="320"/>
      <c r="S12" s="293"/>
      <c r="T12" s="318"/>
      <c r="U12" s="318"/>
      <c r="V12" s="363"/>
      <c r="W12" s="320"/>
      <c r="X12" s="320"/>
      <c r="Y12" s="318"/>
    </row>
    <row r="13" spans="1:57" s="66" customFormat="1" ht="45" customHeight="1" x14ac:dyDescent="0.25">
      <c r="A13" s="13">
        <v>1</v>
      </c>
      <c r="B13" s="13">
        <v>2</v>
      </c>
      <c r="C13" s="13">
        <v>3</v>
      </c>
      <c r="D13" s="13">
        <v>4</v>
      </c>
      <c r="E13" s="13">
        <v>5</v>
      </c>
      <c r="F13" s="13" t="s">
        <v>12</v>
      </c>
      <c r="G13" s="14">
        <v>7</v>
      </c>
      <c r="H13" s="14" t="s">
        <v>13</v>
      </c>
      <c r="I13" s="13">
        <v>9</v>
      </c>
      <c r="J13" s="13">
        <v>10</v>
      </c>
      <c r="K13" s="13" t="s">
        <v>56</v>
      </c>
      <c r="L13" s="13" t="s">
        <v>285</v>
      </c>
      <c r="M13" s="13">
        <v>13</v>
      </c>
      <c r="N13" s="13">
        <v>14</v>
      </c>
      <c r="O13" s="13" t="s">
        <v>57</v>
      </c>
      <c r="P13" s="13" t="s">
        <v>58</v>
      </c>
      <c r="Q13" s="14" t="s">
        <v>59</v>
      </c>
      <c r="R13" s="16">
        <v>18</v>
      </c>
      <c r="S13" s="13" t="s">
        <v>60</v>
      </c>
      <c r="T13" s="13" t="s">
        <v>287</v>
      </c>
      <c r="U13" s="13">
        <v>21</v>
      </c>
      <c r="V13" s="13" t="s">
        <v>384</v>
      </c>
      <c r="W13" s="16" t="s">
        <v>385</v>
      </c>
      <c r="X13" s="16" t="s">
        <v>417</v>
      </c>
      <c r="Y13" s="13" t="s">
        <v>386</v>
      </c>
    </row>
    <row r="14" spans="1:57" s="132" customFormat="1" ht="54.75" customHeight="1" x14ac:dyDescent="0.2">
      <c r="A14" s="130"/>
      <c r="B14" s="86" t="s">
        <v>318</v>
      </c>
      <c r="C14" s="130"/>
      <c r="D14" s="137">
        <f>SUM(D15:D19)</f>
        <v>1</v>
      </c>
      <c r="E14" s="216">
        <f t="shared" ref="E14:Y14" si="0">SUM(E15:E19)</f>
        <v>1240</v>
      </c>
      <c r="F14" s="216">
        <f t="shared" si="0"/>
        <v>1240</v>
      </c>
      <c r="G14" s="216"/>
      <c r="H14" s="216">
        <f t="shared" si="0"/>
        <v>310</v>
      </c>
      <c r="I14" s="216">
        <f t="shared" si="0"/>
        <v>0</v>
      </c>
      <c r="J14" s="216">
        <f t="shared" si="0"/>
        <v>0</v>
      </c>
      <c r="K14" s="216">
        <f t="shared" si="0"/>
        <v>372</v>
      </c>
      <c r="L14" s="216">
        <f t="shared" si="0"/>
        <v>775</v>
      </c>
      <c r="M14" s="216">
        <f t="shared" si="0"/>
        <v>0</v>
      </c>
      <c r="N14" s="216">
        <f t="shared" si="0"/>
        <v>0</v>
      </c>
      <c r="O14" s="217">
        <f t="shared" si="0"/>
        <v>2697</v>
      </c>
      <c r="P14" s="217">
        <f t="shared" si="0"/>
        <v>10788</v>
      </c>
      <c r="Q14" s="217">
        <f t="shared" si="0"/>
        <v>2697</v>
      </c>
      <c r="R14" s="217">
        <f t="shared" si="0"/>
        <v>2697</v>
      </c>
      <c r="S14" s="217">
        <f t="shared" si="0"/>
        <v>1240</v>
      </c>
      <c r="T14" s="217">
        <f t="shared" si="0"/>
        <v>1002.3</v>
      </c>
      <c r="U14" s="217">
        <f t="shared" si="0"/>
        <v>0</v>
      </c>
      <c r="V14" s="217">
        <f t="shared" si="0"/>
        <v>48.1</v>
      </c>
      <c r="W14" s="217">
        <f t="shared" si="0"/>
        <v>10.4</v>
      </c>
      <c r="X14" s="217">
        <f t="shared" si="0"/>
        <v>2.2000000000000002</v>
      </c>
      <c r="Y14" s="217">
        <f t="shared" si="0"/>
        <v>60.7</v>
      </c>
    </row>
    <row r="15" spans="1:57" ht="14.45" customHeight="1" x14ac:dyDescent="0.2">
      <c r="A15" s="18">
        <v>1</v>
      </c>
      <c r="B15" s="133" t="s">
        <v>395</v>
      </c>
      <c r="C15" s="18">
        <v>14</v>
      </c>
      <c r="D15" s="18">
        <v>1</v>
      </c>
      <c r="E15" s="269">
        <v>1240</v>
      </c>
      <c r="F15" s="269">
        <f>D15*E15</f>
        <v>1240</v>
      </c>
      <c r="G15" s="194">
        <f>25%</f>
        <v>0.25</v>
      </c>
      <c r="H15" s="17">
        <f>F15*G15</f>
        <v>310</v>
      </c>
      <c r="I15" s="189"/>
      <c r="J15" s="17"/>
      <c r="K15" s="17">
        <f>F15*30%</f>
        <v>372</v>
      </c>
      <c r="L15" s="17">
        <f>ROUND((F15+H15)*50%,1)</f>
        <v>775</v>
      </c>
      <c r="M15" s="17"/>
      <c r="N15" s="17"/>
      <c r="O15" s="201">
        <f>ROUND(F15+H15+J15+K15+L15+N15,1)</f>
        <v>2697</v>
      </c>
      <c r="P15" s="201">
        <f>O15*4</f>
        <v>10788</v>
      </c>
      <c r="Q15" s="201">
        <f>O15</f>
        <v>2697</v>
      </c>
      <c r="R15" s="204">
        <f>IF(Q15&gt;6650*D15,6650*D15,Q15)</f>
        <v>2697</v>
      </c>
      <c r="S15" s="201">
        <f>F15</f>
        <v>1240</v>
      </c>
      <c r="T15" s="201">
        <f>ROUND((S15+P15)/12,1)</f>
        <v>1002.3</v>
      </c>
      <c r="U15" s="201"/>
      <c r="V15" s="201">
        <f>ROUND((O15*12+P15+Q15+S15+T15+U15)/1000,1)</f>
        <v>48.1</v>
      </c>
      <c r="W15" s="201">
        <f>ROUND((V15-R15/1000)*23%,1)</f>
        <v>10.4</v>
      </c>
      <c r="X15" s="201">
        <f>ROUND(V15*4.5%,1)</f>
        <v>2.2000000000000002</v>
      </c>
      <c r="Y15" s="201">
        <f>V15+W15+X15</f>
        <v>60.7</v>
      </c>
    </row>
    <row r="16" spans="1:57" ht="14.45" customHeight="1" x14ac:dyDescent="0.2">
      <c r="A16" s="18">
        <v>2</v>
      </c>
      <c r="B16" s="18"/>
      <c r="C16" s="18"/>
      <c r="D16" s="18"/>
      <c r="E16" s="17"/>
      <c r="F16" s="17">
        <f t="shared" ref="F16:F24" si="1">D16*E16</f>
        <v>0</v>
      </c>
      <c r="G16" s="194"/>
      <c r="H16" s="17">
        <f t="shared" ref="H16:H24" si="2">F16*G16</f>
        <v>0</v>
      </c>
      <c r="I16" s="189"/>
      <c r="J16" s="17"/>
      <c r="K16" s="17">
        <f t="shared" ref="K16:K24" si="3">F16*30%</f>
        <v>0</v>
      </c>
      <c r="L16" s="17">
        <f t="shared" ref="L16:L23" si="4">ROUND((F16+H16)*50%,1)</f>
        <v>0</v>
      </c>
      <c r="M16" s="17"/>
      <c r="N16" s="17"/>
      <c r="O16" s="201">
        <f t="shared" ref="O16:O23" si="5">ROUND(F16+H16+J16+K16+L16+N16,1)</f>
        <v>0</v>
      </c>
      <c r="P16" s="201">
        <f t="shared" ref="P16:P24" si="6">O16*4</f>
        <v>0</v>
      </c>
      <c r="Q16" s="201">
        <f t="shared" ref="Q16:Q24" si="7">O16</f>
        <v>0</v>
      </c>
      <c r="R16" s="204">
        <f t="shared" ref="R16:R24" si="8">IF(Q16&gt;6650*D16,6650*D16,Q16)</f>
        <v>0</v>
      </c>
      <c r="S16" s="201">
        <f t="shared" ref="S16:S24" si="9">F16</f>
        <v>0</v>
      </c>
      <c r="T16" s="201">
        <f t="shared" ref="T16:T24" si="10">ROUND((S16+P16)/12,1)</f>
        <v>0</v>
      </c>
      <c r="U16" s="201"/>
      <c r="V16" s="201">
        <f t="shared" ref="V16:V24" si="11">ROUND((O16*12+P16+Q16+S16+T16+U16)/1000,1)</f>
        <v>0</v>
      </c>
      <c r="W16" s="201">
        <f t="shared" ref="W16:W24" si="12">ROUND((V16-R16/1000)*23%,1)</f>
        <v>0</v>
      </c>
      <c r="X16" s="201">
        <f t="shared" ref="X16:X24" si="13">ROUND(V16*4.5%,1)</f>
        <v>0</v>
      </c>
      <c r="Y16" s="201">
        <f t="shared" ref="Y16:Y24" si="14">V16+W16+X16</f>
        <v>0</v>
      </c>
    </row>
    <row r="17" spans="1:58" x14ac:dyDescent="0.2">
      <c r="A17" s="18">
        <v>3</v>
      </c>
      <c r="B17" s="18"/>
      <c r="C17" s="18"/>
      <c r="D17" s="18"/>
      <c r="E17" s="17"/>
      <c r="F17" s="17">
        <f t="shared" si="1"/>
        <v>0</v>
      </c>
      <c r="G17" s="194"/>
      <c r="H17" s="17">
        <f t="shared" si="2"/>
        <v>0</v>
      </c>
      <c r="I17" s="189"/>
      <c r="J17" s="17"/>
      <c r="K17" s="17">
        <f t="shared" si="3"/>
        <v>0</v>
      </c>
      <c r="L17" s="17">
        <f t="shared" si="4"/>
        <v>0</v>
      </c>
      <c r="M17" s="17"/>
      <c r="N17" s="17"/>
      <c r="O17" s="201">
        <f t="shared" si="5"/>
        <v>0</v>
      </c>
      <c r="P17" s="201">
        <f t="shared" si="6"/>
        <v>0</v>
      </c>
      <c r="Q17" s="201">
        <f t="shared" si="7"/>
        <v>0</v>
      </c>
      <c r="R17" s="204">
        <f t="shared" si="8"/>
        <v>0</v>
      </c>
      <c r="S17" s="201">
        <f t="shared" si="9"/>
        <v>0</v>
      </c>
      <c r="T17" s="201">
        <f t="shared" si="10"/>
        <v>0</v>
      </c>
      <c r="U17" s="201"/>
      <c r="V17" s="201">
        <f t="shared" si="11"/>
        <v>0</v>
      </c>
      <c r="W17" s="201">
        <f t="shared" si="12"/>
        <v>0</v>
      </c>
      <c r="X17" s="201">
        <f t="shared" si="13"/>
        <v>0</v>
      </c>
      <c r="Y17" s="201">
        <f t="shared" si="14"/>
        <v>0</v>
      </c>
    </row>
    <row r="18" spans="1:58" ht="14.45" customHeight="1" x14ac:dyDescent="0.2">
      <c r="A18" s="18"/>
      <c r="B18" s="18"/>
      <c r="C18" s="18"/>
      <c r="D18" s="18"/>
      <c r="E18" s="17"/>
      <c r="F18" s="17">
        <f t="shared" si="1"/>
        <v>0</v>
      </c>
      <c r="G18" s="194"/>
      <c r="H18" s="17">
        <f t="shared" si="2"/>
        <v>0</v>
      </c>
      <c r="I18" s="189"/>
      <c r="J18" s="17"/>
      <c r="K18" s="17">
        <f t="shared" si="3"/>
        <v>0</v>
      </c>
      <c r="L18" s="17">
        <f t="shared" si="4"/>
        <v>0</v>
      </c>
      <c r="M18" s="17"/>
      <c r="N18" s="17"/>
      <c r="O18" s="201">
        <f t="shared" si="5"/>
        <v>0</v>
      </c>
      <c r="P18" s="201">
        <f t="shared" si="6"/>
        <v>0</v>
      </c>
      <c r="Q18" s="201">
        <f t="shared" si="7"/>
        <v>0</v>
      </c>
      <c r="R18" s="204">
        <f t="shared" si="8"/>
        <v>0</v>
      </c>
      <c r="S18" s="201">
        <f t="shared" si="9"/>
        <v>0</v>
      </c>
      <c r="T18" s="201">
        <f t="shared" si="10"/>
        <v>0</v>
      </c>
      <c r="U18" s="201"/>
      <c r="V18" s="201">
        <f t="shared" si="11"/>
        <v>0</v>
      </c>
      <c r="W18" s="201">
        <f t="shared" si="12"/>
        <v>0</v>
      </c>
      <c r="X18" s="201">
        <f t="shared" si="13"/>
        <v>0</v>
      </c>
      <c r="Y18" s="201">
        <f t="shared" si="14"/>
        <v>0</v>
      </c>
    </row>
    <row r="19" spans="1:58" ht="14.45" customHeight="1" x14ac:dyDescent="0.2">
      <c r="A19" s="18"/>
      <c r="B19" s="18"/>
      <c r="C19" s="18"/>
      <c r="D19" s="18"/>
      <c r="E19" s="17"/>
      <c r="F19" s="17">
        <f t="shared" si="1"/>
        <v>0</v>
      </c>
      <c r="G19" s="194"/>
      <c r="H19" s="17">
        <f t="shared" si="2"/>
        <v>0</v>
      </c>
      <c r="I19" s="189"/>
      <c r="J19" s="17"/>
      <c r="K19" s="17">
        <f t="shared" si="3"/>
        <v>0</v>
      </c>
      <c r="L19" s="17">
        <f t="shared" si="4"/>
        <v>0</v>
      </c>
      <c r="M19" s="17"/>
      <c r="N19" s="17"/>
      <c r="O19" s="201">
        <f t="shared" si="5"/>
        <v>0</v>
      </c>
      <c r="P19" s="201">
        <f t="shared" si="6"/>
        <v>0</v>
      </c>
      <c r="Q19" s="201">
        <f t="shared" si="7"/>
        <v>0</v>
      </c>
      <c r="R19" s="204">
        <f t="shared" si="8"/>
        <v>0</v>
      </c>
      <c r="S19" s="201">
        <f t="shared" si="9"/>
        <v>0</v>
      </c>
      <c r="T19" s="201">
        <f t="shared" si="10"/>
        <v>0</v>
      </c>
      <c r="U19" s="201"/>
      <c r="V19" s="201">
        <f t="shared" si="11"/>
        <v>0</v>
      </c>
      <c r="W19" s="201">
        <f t="shared" si="12"/>
        <v>0</v>
      </c>
      <c r="X19" s="201">
        <f t="shared" si="13"/>
        <v>0</v>
      </c>
      <c r="Y19" s="201">
        <f t="shared" si="14"/>
        <v>0</v>
      </c>
    </row>
    <row r="20" spans="1:58" s="87" customFormat="1" ht="24" customHeight="1" x14ac:dyDescent="0.2">
      <c r="A20" s="84"/>
      <c r="B20" s="88" t="s">
        <v>320</v>
      </c>
      <c r="C20" s="84"/>
      <c r="D20" s="84">
        <f>SUM(D21:D24)</f>
        <v>0</v>
      </c>
      <c r="E20" s="193">
        <f t="shared" ref="E20:Y20" si="15">SUM(E21:E24)</f>
        <v>0</v>
      </c>
      <c r="F20" s="193">
        <f t="shared" si="15"/>
        <v>0</v>
      </c>
      <c r="G20" s="193">
        <f t="shared" si="15"/>
        <v>0</v>
      </c>
      <c r="H20" s="193">
        <f t="shared" si="15"/>
        <v>0</v>
      </c>
      <c r="I20" s="193">
        <f t="shared" si="15"/>
        <v>0</v>
      </c>
      <c r="J20" s="193">
        <f t="shared" si="15"/>
        <v>0</v>
      </c>
      <c r="K20" s="193">
        <f t="shared" si="15"/>
        <v>0</v>
      </c>
      <c r="L20" s="193">
        <f t="shared" si="15"/>
        <v>0</v>
      </c>
      <c r="M20" s="193">
        <f t="shared" si="15"/>
        <v>0</v>
      </c>
      <c r="N20" s="193">
        <f t="shared" si="15"/>
        <v>0</v>
      </c>
      <c r="O20" s="207">
        <f t="shared" si="15"/>
        <v>0</v>
      </c>
      <c r="P20" s="207">
        <f t="shared" si="15"/>
        <v>0</v>
      </c>
      <c r="Q20" s="207">
        <f t="shared" si="15"/>
        <v>0</v>
      </c>
      <c r="R20" s="207">
        <f t="shared" si="15"/>
        <v>0</v>
      </c>
      <c r="S20" s="207">
        <f t="shared" si="15"/>
        <v>0</v>
      </c>
      <c r="T20" s="207">
        <f t="shared" si="15"/>
        <v>0</v>
      </c>
      <c r="U20" s="207">
        <f t="shared" si="15"/>
        <v>0</v>
      </c>
      <c r="V20" s="207">
        <f t="shared" si="15"/>
        <v>0</v>
      </c>
      <c r="W20" s="207">
        <f t="shared" si="15"/>
        <v>0</v>
      </c>
      <c r="X20" s="207">
        <f t="shared" si="15"/>
        <v>0</v>
      </c>
      <c r="Y20" s="207">
        <f t="shared" si="15"/>
        <v>0</v>
      </c>
    </row>
    <row r="21" spans="1:58" ht="14.45" customHeight="1" x14ac:dyDescent="0.2">
      <c r="A21" s="18">
        <v>1</v>
      </c>
      <c r="B21" s="18"/>
      <c r="C21" s="18"/>
      <c r="D21" s="18"/>
      <c r="E21" s="17"/>
      <c r="F21" s="17">
        <f t="shared" si="1"/>
        <v>0</v>
      </c>
      <c r="G21" s="194"/>
      <c r="H21" s="17">
        <f t="shared" si="2"/>
        <v>0</v>
      </c>
      <c r="I21" s="189"/>
      <c r="J21" s="17"/>
      <c r="K21" s="17">
        <f t="shared" si="3"/>
        <v>0</v>
      </c>
      <c r="L21" s="17">
        <f t="shared" si="4"/>
        <v>0</v>
      </c>
      <c r="M21" s="17"/>
      <c r="N21" s="17"/>
      <c r="O21" s="201">
        <f t="shared" si="5"/>
        <v>0</v>
      </c>
      <c r="P21" s="201">
        <f t="shared" si="6"/>
        <v>0</v>
      </c>
      <c r="Q21" s="201">
        <f t="shared" si="7"/>
        <v>0</v>
      </c>
      <c r="R21" s="204">
        <f t="shared" si="8"/>
        <v>0</v>
      </c>
      <c r="S21" s="201">
        <f t="shared" si="9"/>
        <v>0</v>
      </c>
      <c r="T21" s="201">
        <f t="shared" si="10"/>
        <v>0</v>
      </c>
      <c r="U21" s="201"/>
      <c r="V21" s="201">
        <f t="shared" si="11"/>
        <v>0</v>
      </c>
      <c r="W21" s="201">
        <f t="shared" si="12"/>
        <v>0</v>
      </c>
      <c r="X21" s="201">
        <f t="shared" si="13"/>
        <v>0</v>
      </c>
      <c r="Y21" s="201">
        <f t="shared" si="14"/>
        <v>0</v>
      </c>
    </row>
    <row r="22" spans="1:58" x14ac:dyDescent="0.2">
      <c r="A22" s="18">
        <v>2</v>
      </c>
      <c r="B22" s="18"/>
      <c r="C22" s="18"/>
      <c r="D22" s="18"/>
      <c r="E22" s="17"/>
      <c r="F22" s="17">
        <f t="shared" si="1"/>
        <v>0</v>
      </c>
      <c r="G22" s="194"/>
      <c r="H22" s="17">
        <f t="shared" si="2"/>
        <v>0</v>
      </c>
      <c r="I22" s="189"/>
      <c r="J22" s="17"/>
      <c r="K22" s="17">
        <f t="shared" si="3"/>
        <v>0</v>
      </c>
      <c r="L22" s="17">
        <f t="shared" si="4"/>
        <v>0</v>
      </c>
      <c r="M22" s="17"/>
      <c r="N22" s="17"/>
      <c r="O22" s="201">
        <f t="shared" si="5"/>
        <v>0</v>
      </c>
      <c r="P22" s="201">
        <f t="shared" si="6"/>
        <v>0</v>
      </c>
      <c r="Q22" s="201">
        <f t="shared" si="7"/>
        <v>0</v>
      </c>
      <c r="R22" s="204">
        <f t="shared" si="8"/>
        <v>0</v>
      </c>
      <c r="S22" s="201">
        <f t="shared" si="9"/>
        <v>0</v>
      </c>
      <c r="T22" s="201">
        <f t="shared" si="10"/>
        <v>0</v>
      </c>
      <c r="U22" s="201"/>
      <c r="V22" s="201">
        <f t="shared" si="11"/>
        <v>0</v>
      </c>
      <c r="W22" s="201">
        <f t="shared" si="12"/>
        <v>0</v>
      </c>
      <c r="X22" s="201">
        <f t="shared" si="13"/>
        <v>0</v>
      </c>
      <c r="Y22" s="201">
        <f t="shared" si="14"/>
        <v>0</v>
      </c>
    </row>
    <row r="23" spans="1:58" x14ac:dyDescent="0.2">
      <c r="A23" s="18">
        <v>3</v>
      </c>
      <c r="B23" s="18"/>
      <c r="C23" s="18"/>
      <c r="D23" s="18"/>
      <c r="E23" s="17"/>
      <c r="F23" s="17">
        <f t="shared" si="1"/>
        <v>0</v>
      </c>
      <c r="G23" s="194"/>
      <c r="H23" s="17">
        <f t="shared" si="2"/>
        <v>0</v>
      </c>
      <c r="I23" s="189"/>
      <c r="J23" s="17"/>
      <c r="K23" s="17">
        <f t="shared" si="3"/>
        <v>0</v>
      </c>
      <c r="L23" s="17">
        <f t="shared" si="4"/>
        <v>0</v>
      </c>
      <c r="M23" s="17"/>
      <c r="N23" s="17"/>
      <c r="O23" s="201">
        <f t="shared" si="5"/>
        <v>0</v>
      </c>
      <c r="P23" s="201">
        <f t="shared" si="6"/>
        <v>0</v>
      </c>
      <c r="Q23" s="201">
        <f t="shared" si="7"/>
        <v>0</v>
      </c>
      <c r="R23" s="204">
        <f t="shared" si="8"/>
        <v>0</v>
      </c>
      <c r="S23" s="201">
        <f t="shared" si="9"/>
        <v>0</v>
      </c>
      <c r="T23" s="201">
        <f t="shared" si="10"/>
        <v>0</v>
      </c>
      <c r="U23" s="232"/>
      <c r="V23" s="201">
        <f t="shared" si="11"/>
        <v>0</v>
      </c>
      <c r="W23" s="201">
        <f>ROUND((V23-R23/1000)*23%,1)</f>
        <v>0</v>
      </c>
      <c r="X23" s="201">
        <f t="shared" si="13"/>
        <v>0</v>
      </c>
      <c r="Y23" s="201">
        <f t="shared" si="14"/>
        <v>0</v>
      </c>
    </row>
    <row r="24" spans="1:58" x14ac:dyDescent="0.2">
      <c r="A24" s="18"/>
      <c r="B24" s="18"/>
      <c r="C24" s="18"/>
      <c r="D24" s="18"/>
      <c r="E24" s="17"/>
      <c r="F24" s="17">
        <f t="shared" si="1"/>
        <v>0</v>
      </c>
      <c r="G24" s="194"/>
      <c r="H24" s="17">
        <f t="shared" si="2"/>
        <v>0</v>
      </c>
      <c r="I24" s="189"/>
      <c r="J24" s="17"/>
      <c r="K24" s="17">
        <f t="shared" si="3"/>
        <v>0</v>
      </c>
      <c r="L24" s="17">
        <f>ROUND((F24+H24)*50%,1)</f>
        <v>0</v>
      </c>
      <c r="M24" s="17"/>
      <c r="N24" s="17"/>
      <c r="O24" s="201">
        <f>ROUND(F24+H24+J24+K24+L24+N24,1)</f>
        <v>0</v>
      </c>
      <c r="P24" s="201">
        <f t="shared" si="6"/>
        <v>0</v>
      </c>
      <c r="Q24" s="201">
        <f t="shared" si="7"/>
        <v>0</v>
      </c>
      <c r="R24" s="204">
        <f t="shared" si="8"/>
        <v>0</v>
      </c>
      <c r="S24" s="201">
        <f t="shared" si="9"/>
        <v>0</v>
      </c>
      <c r="T24" s="201">
        <f t="shared" si="10"/>
        <v>0</v>
      </c>
      <c r="U24" s="201"/>
      <c r="V24" s="201">
        <f t="shared" si="11"/>
        <v>0</v>
      </c>
      <c r="W24" s="201">
        <f t="shared" si="12"/>
        <v>0</v>
      </c>
      <c r="X24" s="201">
        <f t="shared" si="13"/>
        <v>0</v>
      </c>
      <c r="Y24" s="201">
        <f t="shared" si="14"/>
        <v>0</v>
      </c>
    </row>
    <row r="25" spans="1:58" ht="14.25" customHeight="1" x14ac:dyDescent="0.2">
      <c r="A25" s="291" t="s">
        <v>405</v>
      </c>
      <c r="B25" s="292"/>
      <c r="C25" s="292"/>
      <c r="D25" s="292"/>
      <c r="E25" s="292"/>
      <c r="F25" s="292"/>
      <c r="G25" s="292"/>
      <c r="H25" s="292"/>
      <c r="I25" s="292"/>
      <c r="J25" s="292"/>
      <c r="K25" s="292"/>
      <c r="L25" s="292"/>
      <c r="M25" s="292"/>
      <c r="N25" s="292"/>
      <c r="O25" s="292"/>
      <c r="P25" s="292"/>
      <c r="Q25" s="292"/>
      <c r="R25" s="292"/>
      <c r="S25" s="292"/>
      <c r="T25" s="292"/>
      <c r="U25" s="292"/>
      <c r="V25" s="292"/>
      <c r="W25" s="292"/>
      <c r="X25" s="108"/>
      <c r="Y25" s="20"/>
      <c r="Z25" s="108"/>
      <c r="AA25" s="20"/>
      <c r="AB25" s="20"/>
      <c r="AC25" s="109"/>
      <c r="AD25" s="108"/>
      <c r="AE25" s="20"/>
      <c r="AF25" s="106"/>
      <c r="AG25" s="20"/>
      <c r="AH25" s="110"/>
      <c r="AI25" s="111"/>
      <c r="AJ25" s="20"/>
      <c r="AK25" s="106"/>
      <c r="AL25" s="20"/>
      <c r="AM25" s="112"/>
      <c r="AN25" s="113"/>
      <c r="AO25" s="20"/>
      <c r="AP25" s="114"/>
      <c r="AQ25" s="20"/>
      <c r="AR25" s="112"/>
      <c r="AS25" s="102"/>
      <c r="AT25" s="20"/>
      <c r="AU25" s="20"/>
      <c r="AV25" s="20"/>
      <c r="AW25" s="20"/>
    </row>
    <row r="26" spans="1:58" ht="14.25" customHeight="1" x14ac:dyDescent="0.2">
      <c r="A26" s="284" t="s">
        <v>406</v>
      </c>
      <c r="B26" s="284"/>
      <c r="C26" s="284"/>
      <c r="D26" s="284"/>
      <c r="E26" s="284"/>
      <c r="F26" s="284"/>
      <c r="G26" s="284"/>
      <c r="H26" s="284"/>
      <c r="I26" s="284"/>
      <c r="J26" s="284"/>
      <c r="K26" s="284"/>
      <c r="L26" s="284"/>
      <c r="M26" s="284"/>
      <c r="N26" s="284"/>
      <c r="O26" s="284"/>
      <c r="P26" s="284"/>
      <c r="Q26" s="284"/>
      <c r="R26" s="284"/>
      <c r="S26" s="284"/>
      <c r="T26" s="284"/>
      <c r="U26" s="284"/>
      <c r="V26" s="284"/>
      <c r="W26" s="284"/>
      <c r="X26" s="108"/>
      <c r="Y26" s="20"/>
      <c r="Z26" s="108"/>
      <c r="AA26" s="20"/>
      <c r="AB26" s="20"/>
      <c r="AC26" s="109"/>
      <c r="AD26" s="108"/>
      <c r="AE26" s="20"/>
      <c r="AF26" s="106"/>
      <c r="AG26" s="20"/>
      <c r="AH26" s="110"/>
      <c r="AI26" s="111"/>
      <c r="AJ26" s="20"/>
      <c r="AK26" s="106"/>
      <c r="AL26" s="20"/>
      <c r="AM26" s="112"/>
      <c r="AN26" s="113"/>
      <c r="AO26" s="20"/>
      <c r="AP26" s="114"/>
      <c r="AQ26" s="20"/>
      <c r="AR26" s="112"/>
      <c r="AS26" s="102"/>
      <c r="AT26" s="20"/>
      <c r="AU26" s="20"/>
      <c r="AV26" s="20"/>
      <c r="AW26" s="20"/>
    </row>
    <row r="27" spans="1:58" s="65" customFormat="1" ht="15" x14ac:dyDescent="0.25">
      <c r="A27" s="47" t="s">
        <v>165</v>
      </c>
      <c r="B27" s="48"/>
      <c r="C27" s="48"/>
      <c r="D27" s="48"/>
      <c r="E27" s="48"/>
      <c r="F27" s="48"/>
      <c r="G27" s="48"/>
      <c r="H27" s="48"/>
      <c r="I27" s="48"/>
      <c r="J27" s="48"/>
      <c r="K27" s="48"/>
      <c r="L27" s="48"/>
      <c r="M27" s="48"/>
      <c r="N27" s="48"/>
      <c r="O27" s="48"/>
      <c r="P27" s="48"/>
      <c r="Q27" s="48"/>
      <c r="R27" s="48"/>
      <c r="S27" s="48"/>
      <c r="T27" s="48"/>
      <c r="U27" s="48"/>
      <c r="V27" s="48"/>
      <c r="W27" s="49"/>
      <c r="X27" s="49"/>
      <c r="Y27" s="49"/>
      <c r="Z27" s="49"/>
      <c r="AA27" s="49"/>
      <c r="AB27" s="20"/>
      <c r="AC27" s="20"/>
      <c r="AD27" s="20"/>
      <c r="AE27" s="20"/>
      <c r="AF27" s="20"/>
      <c r="AG27" s="20"/>
      <c r="AH27" s="20"/>
      <c r="AI27" s="20"/>
      <c r="AJ27" s="20"/>
      <c r="AK27" s="20"/>
      <c r="AL27" s="20"/>
      <c r="AM27" s="20"/>
      <c r="AN27" s="20"/>
      <c r="AO27" s="20"/>
      <c r="AP27" s="21"/>
      <c r="AQ27" s="21"/>
      <c r="AR27" s="21"/>
      <c r="AS27" s="21"/>
      <c r="AT27" s="19"/>
      <c r="AU27" s="20"/>
      <c r="AV27" s="20"/>
      <c r="AW27" s="102"/>
      <c r="AX27" s="102"/>
      <c r="AY27" s="102"/>
      <c r="AZ27" s="102"/>
      <c r="BA27" s="21"/>
      <c r="BB27" s="37"/>
      <c r="BC27" s="20"/>
      <c r="BD27" s="20"/>
      <c r="BE27" s="20"/>
      <c r="BF27" s="20"/>
    </row>
    <row r="28" spans="1:58" s="20" customFormat="1" ht="16.5" customHeight="1" x14ac:dyDescent="0.2">
      <c r="A28" s="285" t="s">
        <v>418</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94"/>
      <c r="AA28" s="94"/>
      <c r="AB28" s="94"/>
      <c r="AC28" s="94"/>
      <c r="AD28" s="94"/>
      <c r="AE28" s="94"/>
      <c r="AF28" s="94"/>
      <c r="AG28" s="19"/>
      <c r="AH28" s="19"/>
      <c r="AI28" s="19"/>
      <c r="AJ28" s="19"/>
      <c r="AK28" s="19"/>
      <c r="AL28" s="19"/>
      <c r="AM28" s="19"/>
      <c r="AQ28" s="38"/>
      <c r="AS28" s="22"/>
      <c r="AT28" s="23"/>
      <c r="AU28" s="23"/>
      <c r="AV28" s="23"/>
      <c r="AW28" s="23"/>
      <c r="AX28" s="19"/>
      <c r="AY28" s="19"/>
      <c r="AZ28" s="19"/>
      <c r="BA28" s="19"/>
      <c r="BB28" s="19"/>
      <c r="BC28" s="19"/>
      <c r="BD28" s="19"/>
      <c r="BE28" s="19"/>
      <c r="BF28" s="19"/>
    </row>
    <row r="29" spans="1:58" s="20" customFormat="1" ht="27.75" customHeight="1" x14ac:dyDescent="0.2">
      <c r="A29" s="285" t="s">
        <v>408</v>
      </c>
      <c r="B29" s="285"/>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138"/>
      <c r="AA29" s="94"/>
      <c r="AB29" s="94"/>
      <c r="AC29" s="94"/>
      <c r="AD29" s="94"/>
      <c r="AE29" s="94"/>
      <c r="AF29" s="94"/>
      <c r="AG29" s="19"/>
      <c r="AH29" s="19"/>
      <c r="AI29" s="19"/>
      <c r="AJ29" s="19"/>
      <c r="AK29" s="19"/>
      <c r="AL29" s="19"/>
      <c r="AM29" s="19"/>
      <c r="AQ29" s="38"/>
      <c r="AS29" s="22"/>
      <c r="AT29" s="23"/>
      <c r="AU29" s="23"/>
      <c r="AV29" s="23"/>
      <c r="AW29" s="23"/>
      <c r="AX29" s="19"/>
      <c r="AY29" s="19"/>
      <c r="AZ29" s="19"/>
      <c r="BA29" s="19"/>
      <c r="BB29" s="19"/>
      <c r="BC29" s="19"/>
      <c r="BD29" s="19"/>
      <c r="BE29" s="19"/>
      <c r="BF29" s="19"/>
    </row>
    <row r="30" spans="1:58" ht="26.25" customHeight="1" x14ac:dyDescent="0.2">
      <c r="A30" s="286" t="s">
        <v>401</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86"/>
      <c r="Z30" s="20"/>
      <c r="AA30" s="20"/>
      <c r="AB30" s="20"/>
      <c r="AC30" s="20"/>
      <c r="AD30" s="20"/>
      <c r="AE30" s="20"/>
    </row>
    <row r="31" spans="1:58" ht="12.75" customHeight="1" x14ac:dyDescent="0.2">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20"/>
      <c r="AA31" s="20"/>
      <c r="AB31" s="20"/>
      <c r="AC31" s="20"/>
      <c r="AD31" s="20"/>
      <c r="AE31" s="20"/>
    </row>
    <row r="32" spans="1:58" s="181" customFormat="1" ht="17.25" customHeight="1" x14ac:dyDescent="0.25">
      <c r="A32" s="298" t="s">
        <v>542</v>
      </c>
      <c r="B32" s="298"/>
      <c r="C32" s="298"/>
      <c r="D32" s="298"/>
      <c r="E32" s="298"/>
      <c r="F32" s="298"/>
      <c r="G32" s="304"/>
      <c r="H32" s="304"/>
      <c r="I32" s="304"/>
      <c r="J32" s="304"/>
      <c r="K32" s="180"/>
      <c r="L32" s="299"/>
      <c r="M32" s="299"/>
      <c r="N32" s="299"/>
      <c r="O32" s="182"/>
      <c r="P32" s="182"/>
      <c r="Q32" s="182"/>
      <c r="R32" s="179"/>
      <c r="S32" s="179"/>
      <c r="T32" s="179"/>
      <c r="U32" s="179"/>
      <c r="V32" s="179"/>
      <c r="W32" s="179"/>
      <c r="X32" s="179"/>
    </row>
    <row r="33" spans="1:26" s="181" customFormat="1" ht="16.899999999999999" customHeight="1" x14ac:dyDescent="0.25">
      <c r="A33" s="179"/>
      <c r="B33" s="179"/>
      <c r="C33" s="179"/>
      <c r="D33" s="179"/>
      <c r="E33" s="179"/>
      <c r="F33" s="179"/>
      <c r="G33" s="301" t="s">
        <v>538</v>
      </c>
      <c r="H33" s="301"/>
      <c r="I33" s="301"/>
      <c r="J33" s="301"/>
      <c r="K33" s="179"/>
      <c r="L33" s="301" t="s">
        <v>539</v>
      </c>
      <c r="M33" s="301"/>
      <c r="N33" s="301"/>
      <c r="O33" s="187"/>
      <c r="P33" s="187"/>
      <c r="Q33" s="187"/>
      <c r="R33" s="179"/>
      <c r="S33" s="179"/>
      <c r="T33" s="179"/>
      <c r="U33" s="179"/>
      <c r="V33" s="179"/>
      <c r="W33" s="179"/>
      <c r="X33" s="179"/>
    </row>
    <row r="34" spans="1:26" customFormat="1" ht="18.75" customHeight="1" x14ac:dyDescent="0.25">
      <c r="A34" s="298" t="s">
        <v>540</v>
      </c>
      <c r="B34" s="298"/>
      <c r="C34" s="298"/>
      <c r="D34" s="298"/>
      <c r="E34" s="298"/>
      <c r="F34" s="298"/>
      <c r="G34" s="299"/>
      <c r="H34" s="299"/>
      <c r="I34" s="299"/>
      <c r="J34" s="299"/>
      <c r="K34" s="182"/>
      <c r="L34" s="299"/>
      <c r="M34" s="299"/>
      <c r="N34" s="299"/>
      <c r="O34" s="299"/>
      <c r="P34" s="183"/>
      <c r="Q34" s="300"/>
      <c r="R34" s="300"/>
      <c r="S34" s="300"/>
      <c r="T34" s="300"/>
      <c r="U34" s="178"/>
      <c r="V34" s="178"/>
      <c r="W34" s="178"/>
      <c r="X34" s="178"/>
      <c r="Y34" s="178"/>
      <c r="Z34" s="178"/>
    </row>
    <row r="35" spans="1:26" customFormat="1" ht="15" customHeight="1" x14ac:dyDescent="0.25">
      <c r="A35" s="184"/>
      <c r="B35" s="184"/>
      <c r="C35" s="184"/>
      <c r="D35" s="184"/>
      <c r="E35" s="78"/>
      <c r="F35" s="78"/>
      <c r="G35" s="301" t="s">
        <v>538</v>
      </c>
      <c r="H35" s="301"/>
      <c r="I35" s="301"/>
      <c r="J35" s="301"/>
      <c r="K35" s="185"/>
      <c r="L35" s="302" t="s">
        <v>304</v>
      </c>
      <c r="M35" s="302"/>
      <c r="N35" s="302"/>
      <c r="O35" s="302"/>
      <c r="P35" s="138"/>
      <c r="Q35" s="303" t="s">
        <v>541</v>
      </c>
      <c r="R35" s="303"/>
      <c r="S35" s="303"/>
      <c r="T35" s="303"/>
      <c r="U35" s="178"/>
      <c r="V35" s="178"/>
      <c r="W35" s="178"/>
      <c r="X35" s="178"/>
      <c r="Y35" s="178"/>
      <c r="Z35" s="178"/>
    </row>
  </sheetData>
  <mergeCells count="49">
    <mergeCell ref="G35:J35"/>
    <mergeCell ref="L35:O35"/>
    <mergeCell ref="Q35:T35"/>
    <mergeCell ref="L32:N32"/>
    <mergeCell ref="L33:N33"/>
    <mergeCell ref="L34:O34"/>
    <mergeCell ref="Q34:T34"/>
    <mergeCell ref="A32:F32"/>
    <mergeCell ref="G32:J32"/>
    <mergeCell ref="G33:J33"/>
    <mergeCell ref="A34:F34"/>
    <mergeCell ref="G34:J34"/>
    <mergeCell ref="X7:X12"/>
    <mergeCell ref="K7:K12"/>
    <mergeCell ref="L7:L12"/>
    <mergeCell ref="I11:I12"/>
    <mergeCell ref="J11:J12"/>
    <mergeCell ref="A1:Y1"/>
    <mergeCell ref="A7:A12"/>
    <mergeCell ref="B7:B12"/>
    <mergeCell ref="C7:C12"/>
    <mergeCell ref="D7:D12"/>
    <mergeCell ref="E7:F9"/>
    <mergeCell ref="G7:H11"/>
    <mergeCell ref="I7:J10"/>
    <mergeCell ref="P7:P12"/>
    <mergeCell ref="T7:T12"/>
    <mergeCell ref="Y7:Y12"/>
    <mergeCell ref="Q8:Q12"/>
    <mergeCell ref="R8:R12"/>
    <mergeCell ref="A2:Y2"/>
    <mergeCell ref="S7:S12"/>
    <mergeCell ref="V7:V12"/>
    <mergeCell ref="B4:C5"/>
    <mergeCell ref="E4:I4"/>
    <mergeCell ref="K4:K5"/>
    <mergeCell ref="E5:I5"/>
    <mergeCell ref="A30:Y30"/>
    <mergeCell ref="O7:O12"/>
    <mergeCell ref="Q7:R7"/>
    <mergeCell ref="M7:N11"/>
    <mergeCell ref="U7:U12"/>
    <mergeCell ref="A29:Y29"/>
    <mergeCell ref="A25:W25"/>
    <mergeCell ref="A26:W26"/>
    <mergeCell ref="A28:Y28"/>
    <mergeCell ref="E10:E12"/>
    <mergeCell ref="F10:F12"/>
    <mergeCell ref="W7:W12"/>
  </mergeCells>
  <printOptions horizontalCentered="1"/>
  <pageMargins left="0.31496062992126" right="0.31496062992126" top="0.66929133858267698" bottom="0.66929133858267698" header="0.31496062992126" footer="0.31496062992126"/>
  <pageSetup paperSize="8" scale="80" fitToHeight="80" orientation="landscape" r:id="rId1"/>
  <headerFooter>
    <oddHeader>&amp;R&amp;10Tabel nr.11</oddHeader>
    <oddFooter>&amp;R&amp;"-,полужирный"&amp;8&amp;P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F36"/>
  <sheetViews>
    <sheetView showZeros="0" view="pageBreakPreview" zoomScale="70" zoomScaleSheetLayoutView="70" workbookViewId="0">
      <selection activeCell="E21" sqref="E21"/>
    </sheetView>
  </sheetViews>
  <sheetFormatPr defaultColWidth="8.85546875" defaultRowHeight="12.75" x14ac:dyDescent="0.2"/>
  <cols>
    <col min="1" max="1" width="6.140625" style="21" customWidth="1"/>
    <col min="2" max="2" width="18" style="21" customWidth="1"/>
    <col min="3" max="4" width="5.5703125" style="21" customWidth="1"/>
    <col min="5" max="5" width="8.28515625" style="21" customWidth="1"/>
    <col min="6" max="6" width="9.5703125" style="21" customWidth="1"/>
    <col min="7" max="7" width="13.28515625" style="21" customWidth="1"/>
    <col min="8" max="8" width="11.42578125" style="21" customWidth="1"/>
    <col min="9" max="9" width="6" style="21" customWidth="1"/>
    <col min="10" max="10" width="9.85546875" style="21" customWidth="1"/>
    <col min="11" max="11" width="5.7109375" style="21" customWidth="1"/>
    <col min="12" max="12" width="8.85546875" style="21" customWidth="1"/>
    <col min="13" max="13" width="8.5703125" style="21" customWidth="1"/>
    <col min="14" max="14" width="7.140625" style="21" customWidth="1"/>
    <col min="15" max="15" width="10.7109375" style="21" customWidth="1"/>
    <col min="16" max="16" width="14" style="21" customWidth="1"/>
    <col min="17" max="17" width="4.5703125" style="21" customWidth="1"/>
    <col min="18" max="18" width="8.5703125" style="21" customWidth="1"/>
    <col min="19" max="19" width="10.140625" style="21" customWidth="1"/>
    <col min="20" max="20" width="13" style="21" customWidth="1"/>
    <col min="21" max="21" width="10" style="21" customWidth="1"/>
    <col min="22" max="22" width="11.85546875" style="21" customWidth="1"/>
    <col min="23" max="23" width="8.85546875" style="21" customWidth="1"/>
    <col min="24" max="25" width="10.5703125" style="21" customWidth="1"/>
    <col min="26" max="27" width="11.28515625" style="21" customWidth="1"/>
    <col min="28" max="28" width="11.140625" style="21" customWidth="1"/>
    <col min="29" max="29" width="10.85546875" style="21" customWidth="1"/>
    <col min="30" max="16384" width="8.85546875" style="21"/>
  </cols>
  <sheetData>
    <row r="1" spans="1:58" s="25" customFormat="1" ht="22.15" customHeight="1" x14ac:dyDescent="0.25">
      <c r="A1" s="356" t="s">
        <v>551</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26"/>
      <c r="AE1" s="26"/>
      <c r="AF1" s="26"/>
      <c r="AG1" s="26"/>
      <c r="AH1" s="26"/>
      <c r="AI1" s="26"/>
      <c r="AJ1" s="26"/>
      <c r="AK1" s="26"/>
      <c r="AL1" s="26"/>
    </row>
    <row r="2" spans="1:58" x14ac:dyDescent="0.2">
      <c r="A2" s="357" t="s">
        <v>136</v>
      </c>
      <c r="B2" s="357"/>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c r="AC2" s="357"/>
      <c r="AD2" s="53"/>
      <c r="AE2" s="53"/>
      <c r="AF2" s="53"/>
      <c r="AG2" s="54"/>
      <c r="AH2" s="54"/>
      <c r="AI2" s="54"/>
      <c r="AJ2" s="54"/>
      <c r="AK2" s="55"/>
      <c r="AL2" s="55"/>
      <c r="AM2" s="55"/>
      <c r="AN2" s="55"/>
      <c r="AO2" s="55"/>
      <c r="AP2" s="20"/>
      <c r="AQ2" s="20"/>
      <c r="AR2" s="20"/>
      <c r="AS2" s="20"/>
      <c r="AT2" s="20"/>
      <c r="AU2" s="20"/>
      <c r="AV2" s="20"/>
      <c r="AW2" s="20"/>
      <c r="AX2" s="20"/>
      <c r="AY2" s="20"/>
      <c r="AZ2" s="20"/>
      <c r="BA2" s="20"/>
      <c r="BB2" s="20"/>
      <c r="BC2" s="20"/>
      <c r="BD2" s="20"/>
      <c r="BE2" s="20"/>
      <c r="BF2" s="20"/>
    </row>
    <row r="3" spans="1:58" x14ac:dyDescent="0.2">
      <c r="A3" s="101"/>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53"/>
      <c r="AE3" s="53"/>
      <c r="AF3" s="53"/>
      <c r="AG3" s="54"/>
      <c r="AH3" s="54"/>
      <c r="AI3" s="54"/>
      <c r="AJ3" s="54"/>
      <c r="AK3" s="55"/>
      <c r="AL3" s="55"/>
      <c r="AM3" s="55"/>
      <c r="AN3" s="55"/>
      <c r="AO3" s="55"/>
      <c r="AP3" s="20"/>
      <c r="AQ3" s="20"/>
      <c r="AR3" s="20"/>
      <c r="AS3" s="20"/>
      <c r="AT3" s="20"/>
      <c r="AU3" s="20"/>
      <c r="AV3" s="20"/>
      <c r="AW3" s="20"/>
      <c r="AX3" s="20"/>
      <c r="AY3" s="20"/>
      <c r="AZ3" s="20"/>
      <c r="BA3" s="20"/>
      <c r="BB3" s="20"/>
      <c r="BC3" s="20"/>
      <c r="BD3" s="20"/>
      <c r="BE3" s="20"/>
      <c r="BF3" s="20"/>
    </row>
    <row r="4" spans="1:58" x14ac:dyDescent="0.2">
      <c r="A4" s="101"/>
      <c r="B4" s="350" t="s">
        <v>307</v>
      </c>
      <c r="C4" s="350"/>
      <c r="D4" s="79"/>
      <c r="E4" s="289" t="s">
        <v>308</v>
      </c>
      <c r="F4" s="289"/>
      <c r="G4" s="289"/>
      <c r="H4" s="289"/>
      <c r="I4" s="289"/>
      <c r="J4" s="75"/>
      <c r="K4" s="296" t="s">
        <v>164</v>
      </c>
      <c r="L4" s="80" t="s">
        <v>309</v>
      </c>
      <c r="M4" s="80" t="s">
        <v>310</v>
      </c>
      <c r="N4" s="80" t="s">
        <v>311</v>
      </c>
      <c r="O4" s="80" t="s">
        <v>312</v>
      </c>
      <c r="P4" s="80" t="s">
        <v>313</v>
      </c>
      <c r="Q4" s="101"/>
      <c r="R4" s="101"/>
      <c r="S4" s="101"/>
      <c r="T4" s="101"/>
      <c r="U4" s="101"/>
      <c r="V4" s="101"/>
      <c r="W4" s="101"/>
      <c r="X4" s="101"/>
      <c r="Y4" s="101"/>
      <c r="Z4" s="101"/>
      <c r="AA4" s="101"/>
      <c r="AB4" s="101"/>
      <c r="AC4" s="101"/>
      <c r="AD4" s="53"/>
      <c r="AE4" s="53"/>
      <c r="AF4" s="53"/>
      <c r="AG4" s="54"/>
      <c r="AH4" s="54"/>
      <c r="AI4" s="54"/>
      <c r="AJ4" s="54"/>
      <c r="AK4" s="55"/>
      <c r="AL4" s="55"/>
      <c r="AM4" s="55"/>
      <c r="AN4" s="55"/>
      <c r="AO4" s="55"/>
      <c r="AP4" s="20"/>
      <c r="AQ4" s="20"/>
      <c r="AR4" s="20"/>
      <c r="AS4" s="20"/>
      <c r="AT4" s="20"/>
      <c r="AU4" s="20"/>
      <c r="AV4" s="20"/>
      <c r="AW4" s="20"/>
      <c r="AX4" s="20"/>
      <c r="AY4" s="20"/>
      <c r="AZ4" s="20"/>
      <c r="BA4" s="20"/>
      <c r="BB4" s="20"/>
      <c r="BC4" s="20"/>
      <c r="BD4" s="20"/>
      <c r="BE4" s="20"/>
      <c r="BF4" s="20"/>
    </row>
    <row r="5" spans="1:58" x14ac:dyDescent="0.2">
      <c r="B5" s="350"/>
      <c r="C5" s="350"/>
      <c r="D5" s="32"/>
      <c r="E5" s="290" t="s">
        <v>314</v>
      </c>
      <c r="F5" s="290"/>
      <c r="G5" s="290"/>
      <c r="H5" s="290"/>
      <c r="I5" s="290"/>
      <c r="J5" s="32"/>
      <c r="K5" s="296"/>
      <c r="L5" s="81"/>
      <c r="M5" s="81"/>
      <c r="N5" s="81"/>
      <c r="O5" s="81"/>
      <c r="P5" s="81"/>
      <c r="R5" s="29"/>
      <c r="S5" s="29"/>
      <c r="W5" s="29"/>
      <c r="X5" s="29"/>
      <c r="Y5" s="29"/>
      <c r="AA5" s="29"/>
      <c r="AB5" s="30"/>
    </row>
    <row r="6" spans="1:58" x14ac:dyDescent="0.2">
      <c r="A6" s="32"/>
      <c r="B6" s="32"/>
      <c r="C6" s="32"/>
      <c r="D6" s="32"/>
      <c r="E6" s="32"/>
      <c r="F6" s="32"/>
      <c r="G6" s="32"/>
      <c r="H6" s="32"/>
      <c r="I6" s="34"/>
      <c r="J6" s="34"/>
      <c r="K6" s="32"/>
      <c r="L6" s="34"/>
      <c r="M6" s="32"/>
      <c r="N6" s="32"/>
      <c r="O6" s="34"/>
      <c r="P6" s="34"/>
      <c r="Q6" s="32"/>
      <c r="R6" s="32"/>
      <c r="T6" s="32"/>
      <c r="U6" s="32"/>
      <c r="V6" s="32"/>
      <c r="W6" s="32"/>
      <c r="X6" s="32"/>
      <c r="Y6" s="32"/>
      <c r="Z6" s="32"/>
      <c r="AA6" s="32"/>
      <c r="AB6" s="32"/>
      <c r="AC6" s="32"/>
    </row>
    <row r="7" spans="1:58" ht="61.9" customHeight="1" x14ac:dyDescent="0.2">
      <c r="A7" s="363" t="s">
        <v>2</v>
      </c>
      <c r="B7" s="363" t="s">
        <v>88</v>
      </c>
      <c r="C7" s="305" t="s">
        <v>0</v>
      </c>
      <c r="D7" s="305" t="s">
        <v>20</v>
      </c>
      <c r="E7" s="363" t="s">
        <v>225</v>
      </c>
      <c r="F7" s="363"/>
      <c r="G7" s="317" t="s">
        <v>288</v>
      </c>
      <c r="H7" s="364" t="s">
        <v>156</v>
      </c>
      <c r="I7" s="293" t="s">
        <v>229</v>
      </c>
      <c r="J7" s="293"/>
      <c r="K7" s="293" t="s">
        <v>174</v>
      </c>
      <c r="L7" s="293"/>
      <c r="M7" s="293" t="s">
        <v>195</v>
      </c>
      <c r="N7" s="293"/>
      <c r="O7" s="293" t="s">
        <v>180</v>
      </c>
      <c r="P7" s="317" t="s">
        <v>230</v>
      </c>
      <c r="Q7" s="293" t="s">
        <v>315</v>
      </c>
      <c r="R7" s="293"/>
      <c r="S7" s="363" t="s">
        <v>162</v>
      </c>
      <c r="T7" s="293" t="s">
        <v>231</v>
      </c>
      <c r="U7" s="293" t="s">
        <v>232</v>
      </c>
      <c r="V7" s="293"/>
      <c r="W7" s="293" t="s">
        <v>187</v>
      </c>
      <c r="X7" s="317" t="s">
        <v>250</v>
      </c>
      <c r="Y7" s="317" t="s">
        <v>403</v>
      </c>
      <c r="Z7" s="363" t="s">
        <v>163</v>
      </c>
      <c r="AA7" s="320" t="s">
        <v>200</v>
      </c>
      <c r="AB7" s="320" t="s">
        <v>201</v>
      </c>
      <c r="AC7" s="293" t="s">
        <v>192</v>
      </c>
    </row>
    <row r="8" spans="1:58" ht="25.15" customHeight="1" x14ac:dyDescent="0.2">
      <c r="A8" s="363"/>
      <c r="B8" s="363"/>
      <c r="C8" s="305"/>
      <c r="D8" s="305"/>
      <c r="E8" s="363"/>
      <c r="F8" s="363"/>
      <c r="G8" s="319"/>
      <c r="H8" s="365"/>
      <c r="I8" s="293"/>
      <c r="J8" s="293"/>
      <c r="K8" s="293"/>
      <c r="L8" s="293"/>
      <c r="M8" s="293"/>
      <c r="N8" s="293"/>
      <c r="O8" s="293"/>
      <c r="P8" s="319"/>
      <c r="Q8" s="293"/>
      <c r="R8" s="293"/>
      <c r="S8" s="363"/>
      <c r="T8" s="293"/>
      <c r="U8" s="293"/>
      <c r="V8" s="293"/>
      <c r="W8" s="293"/>
      <c r="X8" s="319"/>
      <c r="Y8" s="319"/>
      <c r="Z8" s="363"/>
      <c r="AA8" s="320"/>
      <c r="AB8" s="320"/>
      <c r="AC8" s="293"/>
    </row>
    <row r="9" spans="1:58" ht="25.15" customHeight="1" x14ac:dyDescent="0.2">
      <c r="A9" s="363"/>
      <c r="B9" s="363"/>
      <c r="C9" s="305"/>
      <c r="D9" s="305"/>
      <c r="E9" s="363"/>
      <c r="F9" s="363"/>
      <c r="G9" s="319"/>
      <c r="H9" s="365"/>
      <c r="I9" s="293"/>
      <c r="J9" s="293"/>
      <c r="K9" s="293"/>
      <c r="L9" s="293"/>
      <c r="M9" s="293"/>
      <c r="N9" s="293"/>
      <c r="O9" s="293"/>
      <c r="P9" s="319"/>
      <c r="Q9" s="293"/>
      <c r="R9" s="293"/>
      <c r="S9" s="363"/>
      <c r="T9" s="293"/>
      <c r="U9" s="293" t="s">
        <v>15</v>
      </c>
      <c r="V9" s="320" t="s">
        <v>317</v>
      </c>
      <c r="W9" s="293"/>
      <c r="X9" s="319"/>
      <c r="Y9" s="319"/>
      <c r="Z9" s="363"/>
      <c r="AA9" s="320"/>
      <c r="AB9" s="320"/>
      <c r="AC9" s="293"/>
    </row>
    <row r="10" spans="1:58" ht="30.75" customHeight="1" x14ac:dyDescent="0.2">
      <c r="A10" s="363"/>
      <c r="B10" s="363"/>
      <c r="C10" s="305"/>
      <c r="D10" s="305"/>
      <c r="E10" s="293" t="s">
        <v>21</v>
      </c>
      <c r="F10" s="293" t="s">
        <v>22</v>
      </c>
      <c r="G10" s="319"/>
      <c r="H10" s="365"/>
      <c r="I10" s="293"/>
      <c r="J10" s="293"/>
      <c r="K10" s="293"/>
      <c r="L10" s="293"/>
      <c r="M10" s="293"/>
      <c r="N10" s="293"/>
      <c r="O10" s="293"/>
      <c r="P10" s="319"/>
      <c r="Q10" s="293"/>
      <c r="R10" s="293"/>
      <c r="S10" s="363"/>
      <c r="T10" s="293"/>
      <c r="U10" s="293"/>
      <c r="V10" s="320"/>
      <c r="W10" s="293"/>
      <c r="X10" s="319"/>
      <c r="Y10" s="319"/>
      <c r="Z10" s="363"/>
      <c r="AA10" s="320"/>
      <c r="AB10" s="320"/>
      <c r="AC10" s="293"/>
    </row>
    <row r="11" spans="1:58" ht="30" customHeight="1" x14ac:dyDescent="0.2">
      <c r="A11" s="363"/>
      <c r="B11" s="363"/>
      <c r="C11" s="305"/>
      <c r="D11" s="305"/>
      <c r="E11" s="293"/>
      <c r="F11" s="293"/>
      <c r="G11" s="319"/>
      <c r="H11" s="365"/>
      <c r="I11" s="293"/>
      <c r="J11" s="293"/>
      <c r="K11" s="293"/>
      <c r="L11" s="293"/>
      <c r="M11" s="315" t="s">
        <v>10</v>
      </c>
      <c r="N11" s="317" t="s">
        <v>142</v>
      </c>
      <c r="O11" s="293"/>
      <c r="P11" s="319"/>
      <c r="Q11" s="293"/>
      <c r="R11" s="293"/>
      <c r="S11" s="363"/>
      <c r="T11" s="293"/>
      <c r="U11" s="293"/>
      <c r="V11" s="320"/>
      <c r="W11" s="293"/>
      <c r="X11" s="319"/>
      <c r="Y11" s="319"/>
      <c r="Z11" s="363"/>
      <c r="AA11" s="320"/>
      <c r="AB11" s="320"/>
      <c r="AC11" s="293"/>
    </row>
    <row r="12" spans="1:58" ht="20.25" customHeight="1" x14ac:dyDescent="0.2">
      <c r="A12" s="363"/>
      <c r="B12" s="363"/>
      <c r="C12" s="305"/>
      <c r="D12" s="305"/>
      <c r="E12" s="293"/>
      <c r="F12" s="293"/>
      <c r="G12" s="318"/>
      <c r="H12" s="366"/>
      <c r="I12" s="92" t="s">
        <v>1</v>
      </c>
      <c r="J12" s="92" t="s">
        <v>142</v>
      </c>
      <c r="K12" s="92" t="s">
        <v>1</v>
      </c>
      <c r="L12" s="92" t="s">
        <v>142</v>
      </c>
      <c r="M12" s="316"/>
      <c r="N12" s="318"/>
      <c r="O12" s="293"/>
      <c r="P12" s="318"/>
      <c r="Q12" s="99" t="s">
        <v>1</v>
      </c>
      <c r="R12" s="92" t="s">
        <v>142</v>
      </c>
      <c r="S12" s="363"/>
      <c r="T12" s="293"/>
      <c r="U12" s="293"/>
      <c r="V12" s="320"/>
      <c r="W12" s="293"/>
      <c r="X12" s="318"/>
      <c r="Y12" s="318"/>
      <c r="Z12" s="363"/>
      <c r="AA12" s="320"/>
      <c r="AB12" s="320"/>
      <c r="AC12" s="293"/>
    </row>
    <row r="13" spans="1:58" s="66" customFormat="1" ht="54" customHeight="1" x14ac:dyDescent="0.25">
      <c r="A13" s="13">
        <v>1</v>
      </c>
      <c r="B13" s="13">
        <v>2</v>
      </c>
      <c r="C13" s="13">
        <v>3</v>
      </c>
      <c r="D13" s="13">
        <v>4</v>
      </c>
      <c r="E13" s="13">
        <v>5</v>
      </c>
      <c r="F13" s="13" t="s">
        <v>12</v>
      </c>
      <c r="G13" s="13">
        <v>7</v>
      </c>
      <c r="H13" s="56" t="s">
        <v>412</v>
      </c>
      <c r="I13" s="13">
        <v>9</v>
      </c>
      <c r="J13" s="13" t="s">
        <v>36</v>
      </c>
      <c r="K13" s="14">
        <v>11</v>
      </c>
      <c r="L13" s="14" t="s">
        <v>157</v>
      </c>
      <c r="M13" s="13">
        <v>13</v>
      </c>
      <c r="N13" s="13">
        <v>14</v>
      </c>
      <c r="O13" s="13" t="s">
        <v>158</v>
      </c>
      <c r="P13" s="13" t="s">
        <v>159</v>
      </c>
      <c r="Q13" s="13">
        <v>17</v>
      </c>
      <c r="R13" s="13">
        <v>18</v>
      </c>
      <c r="S13" s="13" t="s">
        <v>160</v>
      </c>
      <c r="T13" s="15">
        <v>20</v>
      </c>
      <c r="U13" s="14" t="s">
        <v>126</v>
      </c>
      <c r="V13" s="16">
        <v>22</v>
      </c>
      <c r="W13" s="13" t="s">
        <v>161</v>
      </c>
      <c r="X13" s="13" t="s">
        <v>289</v>
      </c>
      <c r="Y13" s="13">
        <v>25</v>
      </c>
      <c r="Z13" s="13" t="s">
        <v>387</v>
      </c>
      <c r="AA13" s="16" t="s">
        <v>413</v>
      </c>
      <c r="AB13" s="16" t="s">
        <v>404</v>
      </c>
      <c r="AC13" s="13" t="s">
        <v>388</v>
      </c>
    </row>
    <row r="14" spans="1:58" s="132" customFormat="1" ht="54" customHeight="1" x14ac:dyDescent="0.2">
      <c r="A14" s="130"/>
      <c r="B14" s="86" t="s">
        <v>318</v>
      </c>
      <c r="C14" s="130"/>
      <c r="D14" s="131">
        <f>SUM(D15:D19)</f>
        <v>1</v>
      </c>
      <c r="E14" s="131">
        <f t="shared" ref="E14:AB14" si="0">SUM(E15:E19)</f>
        <v>1240</v>
      </c>
      <c r="F14" s="216">
        <f t="shared" si="0"/>
        <v>1240</v>
      </c>
      <c r="G14" s="216">
        <f t="shared" si="0"/>
        <v>186</v>
      </c>
      <c r="H14" s="216">
        <f t="shared" si="0"/>
        <v>1426</v>
      </c>
      <c r="I14" s="216"/>
      <c r="J14" s="216">
        <f t="shared" si="0"/>
        <v>0</v>
      </c>
      <c r="K14" s="216"/>
      <c r="L14" s="216">
        <f t="shared" si="0"/>
        <v>285.2</v>
      </c>
      <c r="M14" s="216">
        <f t="shared" si="0"/>
        <v>0</v>
      </c>
      <c r="N14" s="216">
        <f t="shared" si="0"/>
        <v>0</v>
      </c>
      <c r="O14" s="216">
        <f t="shared" si="0"/>
        <v>427.8</v>
      </c>
      <c r="P14" s="216">
        <f t="shared" si="0"/>
        <v>285.2</v>
      </c>
      <c r="Q14" s="216">
        <f t="shared" si="0"/>
        <v>0</v>
      </c>
      <c r="R14" s="216">
        <f t="shared" si="0"/>
        <v>0</v>
      </c>
      <c r="S14" s="217">
        <f t="shared" si="0"/>
        <v>2424.1999999999998</v>
      </c>
      <c r="T14" s="217">
        <f t="shared" si="0"/>
        <v>1212.0999999999999</v>
      </c>
      <c r="U14" s="217">
        <f t="shared" si="0"/>
        <v>1212.0999999999999</v>
      </c>
      <c r="V14" s="217">
        <f t="shared" si="0"/>
        <v>1212.0999999999999</v>
      </c>
      <c r="W14" s="217">
        <f t="shared" si="0"/>
        <v>1426</v>
      </c>
      <c r="X14" s="217">
        <f t="shared" si="0"/>
        <v>219.8</v>
      </c>
      <c r="Y14" s="217">
        <f t="shared" si="0"/>
        <v>0</v>
      </c>
      <c r="Z14" s="217">
        <f t="shared" si="0"/>
        <v>33.200000000000003</v>
      </c>
      <c r="AA14" s="217">
        <f t="shared" si="0"/>
        <v>7.4</v>
      </c>
      <c r="AB14" s="217">
        <f t="shared" si="0"/>
        <v>1.5</v>
      </c>
      <c r="AC14" s="217">
        <f>SUM(AC15:AC19)</f>
        <v>42.1</v>
      </c>
    </row>
    <row r="15" spans="1:58" ht="14.45" customHeight="1" x14ac:dyDescent="0.2">
      <c r="A15" s="18">
        <v>1</v>
      </c>
      <c r="B15" s="133" t="s">
        <v>395</v>
      </c>
      <c r="C15" s="18">
        <v>14</v>
      </c>
      <c r="D15" s="18">
        <v>1</v>
      </c>
      <c r="E15" s="18">
        <v>1240</v>
      </c>
      <c r="F15" s="17">
        <f>D15*E15</f>
        <v>1240</v>
      </c>
      <c r="G15" s="17">
        <f>F15*15%</f>
        <v>186</v>
      </c>
      <c r="H15" s="17">
        <f>F15+G15</f>
        <v>1426</v>
      </c>
      <c r="I15" s="194"/>
      <c r="J15" s="17">
        <f>H15*I15/100%</f>
        <v>0</v>
      </c>
      <c r="K15" s="194">
        <v>0.2</v>
      </c>
      <c r="L15" s="17">
        <f t="shared" ref="L15:L23" si="1">ROUND(H15*K15,1)</f>
        <v>285.2</v>
      </c>
      <c r="M15" s="189"/>
      <c r="N15" s="17"/>
      <c r="O15" s="17">
        <f>ROUND(H15*30%,1)</f>
        <v>427.8</v>
      </c>
      <c r="P15" s="17">
        <f>H15*20%</f>
        <v>285.2</v>
      </c>
      <c r="Q15" s="17"/>
      <c r="R15" s="17"/>
      <c r="S15" s="201">
        <f>H15+J15+L15+N15+O15+P15+R15</f>
        <v>2424.1999999999998</v>
      </c>
      <c r="T15" s="201">
        <f>S15/2</f>
        <v>1212.0999999999999</v>
      </c>
      <c r="U15" s="201">
        <f>S15-T15</f>
        <v>1212.0999999999999</v>
      </c>
      <c r="V15" s="204">
        <f>IF(U15&gt;6650*D15,6650*D15,U15)</f>
        <v>1212.0999999999999</v>
      </c>
      <c r="W15" s="201">
        <f>H15</f>
        <v>1426</v>
      </c>
      <c r="X15" s="201">
        <f>ROUND((W15+T15)/12,1)</f>
        <v>219.8</v>
      </c>
      <c r="Y15" s="201"/>
      <c r="Z15" s="201">
        <f>ROUND((S15*12+T15+U15+W15+X15+Y15)/1000,1)</f>
        <v>33.200000000000003</v>
      </c>
      <c r="AA15" s="201">
        <f>ROUND((Z15-V15/1000)*23%,1)</f>
        <v>7.4</v>
      </c>
      <c r="AB15" s="209">
        <f>ROUND(Z15*4.5%,1)</f>
        <v>1.5</v>
      </c>
      <c r="AC15" s="201">
        <f>Z15+AA15+AB15</f>
        <v>42.1</v>
      </c>
    </row>
    <row r="16" spans="1:58" ht="14.45" customHeight="1" x14ac:dyDescent="0.2">
      <c r="A16" s="18">
        <v>2</v>
      </c>
      <c r="B16" s="18"/>
      <c r="C16" s="18"/>
      <c r="D16" s="18"/>
      <c r="E16" s="18"/>
      <c r="F16" s="17">
        <f t="shared" ref="F16:F24" si="2">D16*E16</f>
        <v>0</v>
      </c>
      <c r="G16" s="17">
        <f t="shared" ref="G16:G24" si="3">F16*15%</f>
        <v>0</v>
      </c>
      <c r="H16" s="17">
        <f t="shared" ref="H16:H24" si="4">F16+G16</f>
        <v>0</v>
      </c>
      <c r="I16" s="194"/>
      <c r="J16" s="17">
        <f t="shared" ref="J16:J19" si="5">H16*I16/100%</f>
        <v>0</v>
      </c>
      <c r="K16" s="194"/>
      <c r="L16" s="17">
        <f t="shared" si="1"/>
        <v>0</v>
      </c>
      <c r="M16" s="189"/>
      <c r="N16" s="17"/>
      <c r="O16" s="17">
        <f t="shared" ref="O16:O19" si="6">ROUND(H16*30%,1)</f>
        <v>0</v>
      </c>
      <c r="P16" s="17">
        <f t="shared" ref="P16:P19" si="7">H16*20%</f>
        <v>0</v>
      </c>
      <c r="Q16" s="17"/>
      <c r="R16" s="17"/>
      <c r="S16" s="201">
        <f t="shared" ref="S16:S19" si="8">H16+J16+L16+N16+O16+P16+R16</f>
        <v>0</v>
      </c>
      <c r="T16" s="201">
        <f t="shared" ref="T16:T24" si="9">S16/2</f>
        <v>0</v>
      </c>
      <c r="U16" s="201">
        <f t="shared" ref="U16:U24" si="10">S16-T16</f>
        <v>0</v>
      </c>
      <c r="V16" s="204">
        <f t="shared" ref="V16:V19" si="11">IF(U16&gt;6650*D16,6650*D16,U16)</f>
        <v>0</v>
      </c>
      <c r="W16" s="201">
        <f t="shared" ref="W16:W19" si="12">H16</f>
        <v>0</v>
      </c>
      <c r="X16" s="201">
        <f t="shared" ref="X16:X19" si="13">ROUND((W16+T16)/12,1)</f>
        <v>0</v>
      </c>
      <c r="Y16" s="201"/>
      <c r="Z16" s="201">
        <f t="shared" ref="Z16:Z19" si="14">ROUND((S16*12+T16+U16+W16+X16+Y16)/1000,1)</f>
        <v>0</v>
      </c>
      <c r="AA16" s="201">
        <f t="shared" ref="AA16:AA27" si="15">ROUND((Z16-V16/1000)*23%,1)</f>
        <v>0</v>
      </c>
      <c r="AB16" s="209">
        <f t="shared" ref="AB16:AB19" si="16">ROUND(Z16*4.5%,1)</f>
        <v>0</v>
      </c>
      <c r="AC16" s="201">
        <f t="shared" ref="AC16:AC19" si="17">Z16+AA16+AB16</f>
        <v>0</v>
      </c>
    </row>
    <row r="17" spans="1:58" x14ac:dyDescent="0.2">
      <c r="A17" s="18">
        <v>3</v>
      </c>
      <c r="B17" s="18"/>
      <c r="C17" s="18"/>
      <c r="D17" s="18"/>
      <c r="E17" s="18"/>
      <c r="F17" s="17">
        <f t="shared" si="2"/>
        <v>0</v>
      </c>
      <c r="G17" s="17">
        <f t="shared" si="3"/>
        <v>0</v>
      </c>
      <c r="H17" s="17">
        <f t="shared" si="4"/>
        <v>0</v>
      </c>
      <c r="I17" s="194"/>
      <c r="J17" s="17">
        <f t="shared" si="5"/>
        <v>0</v>
      </c>
      <c r="K17" s="194"/>
      <c r="L17" s="17">
        <f t="shared" si="1"/>
        <v>0</v>
      </c>
      <c r="M17" s="189"/>
      <c r="N17" s="17"/>
      <c r="O17" s="17">
        <f t="shared" si="6"/>
        <v>0</v>
      </c>
      <c r="P17" s="17">
        <f t="shared" si="7"/>
        <v>0</v>
      </c>
      <c r="Q17" s="17"/>
      <c r="R17" s="17"/>
      <c r="S17" s="201">
        <f t="shared" si="8"/>
        <v>0</v>
      </c>
      <c r="T17" s="201">
        <f t="shared" si="9"/>
        <v>0</v>
      </c>
      <c r="U17" s="201">
        <f t="shared" si="10"/>
        <v>0</v>
      </c>
      <c r="V17" s="204">
        <f t="shared" si="11"/>
        <v>0</v>
      </c>
      <c r="W17" s="201">
        <f t="shared" si="12"/>
        <v>0</v>
      </c>
      <c r="X17" s="201">
        <f t="shared" si="13"/>
        <v>0</v>
      </c>
      <c r="Y17" s="201"/>
      <c r="Z17" s="201">
        <f t="shared" si="14"/>
        <v>0</v>
      </c>
      <c r="AA17" s="201">
        <f t="shared" si="15"/>
        <v>0</v>
      </c>
      <c r="AB17" s="209">
        <f t="shared" si="16"/>
        <v>0</v>
      </c>
      <c r="AC17" s="201">
        <f t="shared" si="17"/>
        <v>0</v>
      </c>
    </row>
    <row r="18" spans="1:58" ht="14.45" customHeight="1" x14ac:dyDescent="0.2">
      <c r="A18" s="18"/>
      <c r="B18" s="18"/>
      <c r="C18" s="18"/>
      <c r="D18" s="18"/>
      <c r="E18" s="18"/>
      <c r="F18" s="17">
        <f t="shared" si="2"/>
        <v>0</v>
      </c>
      <c r="G18" s="17">
        <f t="shared" si="3"/>
        <v>0</v>
      </c>
      <c r="H18" s="17">
        <f t="shared" si="4"/>
        <v>0</v>
      </c>
      <c r="I18" s="194"/>
      <c r="J18" s="17">
        <f t="shared" si="5"/>
        <v>0</v>
      </c>
      <c r="K18" s="194"/>
      <c r="L18" s="17">
        <f t="shared" si="1"/>
        <v>0</v>
      </c>
      <c r="M18" s="189"/>
      <c r="N18" s="17"/>
      <c r="O18" s="17">
        <f t="shared" si="6"/>
        <v>0</v>
      </c>
      <c r="P18" s="17">
        <f t="shared" si="7"/>
        <v>0</v>
      </c>
      <c r="Q18" s="17"/>
      <c r="R18" s="17"/>
      <c r="S18" s="201">
        <f t="shared" si="8"/>
        <v>0</v>
      </c>
      <c r="T18" s="201">
        <f t="shared" si="9"/>
        <v>0</v>
      </c>
      <c r="U18" s="201">
        <f t="shared" si="10"/>
        <v>0</v>
      </c>
      <c r="V18" s="204">
        <f t="shared" si="11"/>
        <v>0</v>
      </c>
      <c r="W18" s="201">
        <f t="shared" si="12"/>
        <v>0</v>
      </c>
      <c r="X18" s="201">
        <f t="shared" si="13"/>
        <v>0</v>
      </c>
      <c r="Y18" s="201"/>
      <c r="Z18" s="201">
        <f t="shared" si="14"/>
        <v>0</v>
      </c>
      <c r="AA18" s="201">
        <f t="shared" si="15"/>
        <v>0</v>
      </c>
      <c r="AB18" s="209">
        <f t="shared" si="16"/>
        <v>0</v>
      </c>
      <c r="AC18" s="201">
        <f t="shared" si="17"/>
        <v>0</v>
      </c>
    </row>
    <row r="19" spans="1:58" ht="14.45" customHeight="1" x14ac:dyDescent="0.2">
      <c r="A19" s="18"/>
      <c r="B19" s="18"/>
      <c r="C19" s="18"/>
      <c r="D19" s="18"/>
      <c r="E19" s="18"/>
      <c r="F19" s="17">
        <f t="shared" si="2"/>
        <v>0</v>
      </c>
      <c r="G19" s="17">
        <f t="shared" si="3"/>
        <v>0</v>
      </c>
      <c r="H19" s="17">
        <f t="shared" si="4"/>
        <v>0</v>
      </c>
      <c r="I19" s="194"/>
      <c r="J19" s="17">
        <f t="shared" si="5"/>
        <v>0</v>
      </c>
      <c r="K19" s="194"/>
      <c r="L19" s="17">
        <f t="shared" si="1"/>
        <v>0</v>
      </c>
      <c r="M19" s="189"/>
      <c r="N19" s="17"/>
      <c r="O19" s="17">
        <f t="shared" si="6"/>
        <v>0</v>
      </c>
      <c r="P19" s="17">
        <f t="shared" si="7"/>
        <v>0</v>
      </c>
      <c r="Q19" s="17"/>
      <c r="R19" s="17"/>
      <c r="S19" s="201">
        <f t="shared" si="8"/>
        <v>0</v>
      </c>
      <c r="T19" s="201">
        <f t="shared" si="9"/>
        <v>0</v>
      </c>
      <c r="U19" s="201">
        <f t="shared" si="10"/>
        <v>0</v>
      </c>
      <c r="V19" s="204">
        <f t="shared" si="11"/>
        <v>0</v>
      </c>
      <c r="W19" s="201">
        <f t="shared" si="12"/>
        <v>0</v>
      </c>
      <c r="X19" s="201">
        <f t="shared" si="13"/>
        <v>0</v>
      </c>
      <c r="Y19" s="201"/>
      <c r="Z19" s="201">
        <f t="shared" si="14"/>
        <v>0</v>
      </c>
      <c r="AA19" s="201">
        <f t="shared" si="15"/>
        <v>0</v>
      </c>
      <c r="AB19" s="209">
        <f t="shared" si="16"/>
        <v>0</v>
      </c>
      <c r="AC19" s="201">
        <f t="shared" si="17"/>
        <v>0</v>
      </c>
    </row>
    <row r="20" spans="1:58" s="87" customFormat="1" ht="18.75" customHeight="1" x14ac:dyDescent="0.2">
      <c r="A20" s="84"/>
      <c r="B20" s="85" t="s">
        <v>414</v>
      </c>
      <c r="C20" s="84"/>
      <c r="D20" s="84"/>
      <c r="E20" s="84">
        <f t="shared" ref="E20:AC20" si="18">SUM(E21)</f>
        <v>2898</v>
      </c>
      <c r="F20" s="193">
        <f t="shared" si="18"/>
        <v>2898</v>
      </c>
      <c r="G20" s="193">
        <f t="shared" si="18"/>
        <v>0</v>
      </c>
      <c r="H20" s="193">
        <f t="shared" si="18"/>
        <v>2898</v>
      </c>
      <c r="I20" s="193"/>
      <c r="J20" s="193">
        <f t="shared" si="18"/>
        <v>869.4</v>
      </c>
      <c r="K20" s="193"/>
      <c r="L20" s="193">
        <f t="shared" si="18"/>
        <v>579.6</v>
      </c>
      <c r="M20" s="193">
        <f t="shared" si="18"/>
        <v>0</v>
      </c>
      <c r="N20" s="193">
        <f t="shared" si="18"/>
        <v>0</v>
      </c>
      <c r="O20" s="193">
        <f t="shared" si="18"/>
        <v>0</v>
      </c>
      <c r="P20" s="193">
        <f t="shared" si="18"/>
        <v>0</v>
      </c>
      <c r="Q20" s="193">
        <f t="shared" si="18"/>
        <v>0</v>
      </c>
      <c r="R20" s="193">
        <f t="shared" si="18"/>
        <v>0</v>
      </c>
      <c r="S20" s="207">
        <f t="shared" si="18"/>
        <v>4347</v>
      </c>
      <c r="T20" s="207">
        <f t="shared" si="18"/>
        <v>2173.5</v>
      </c>
      <c r="U20" s="207">
        <f t="shared" si="18"/>
        <v>2173.5</v>
      </c>
      <c r="V20" s="207">
        <f t="shared" si="18"/>
        <v>2173.5</v>
      </c>
      <c r="W20" s="207">
        <f t="shared" si="18"/>
        <v>2898</v>
      </c>
      <c r="X20" s="207">
        <f t="shared" si="18"/>
        <v>422.6</v>
      </c>
      <c r="Y20" s="207"/>
      <c r="Z20" s="207">
        <f t="shared" si="18"/>
        <v>59.8</v>
      </c>
      <c r="AA20" s="207">
        <f t="shared" si="18"/>
        <v>13.3</v>
      </c>
      <c r="AB20" s="207">
        <f t="shared" si="18"/>
        <v>2.7</v>
      </c>
      <c r="AC20" s="207">
        <f t="shared" si="18"/>
        <v>75.8</v>
      </c>
    </row>
    <row r="21" spans="1:58" ht="14.45" customHeight="1" x14ac:dyDescent="0.2">
      <c r="A21" s="18">
        <v>1</v>
      </c>
      <c r="B21" s="18"/>
      <c r="C21" s="70" t="s">
        <v>396</v>
      </c>
      <c r="D21" s="135" t="s">
        <v>415</v>
      </c>
      <c r="E21" s="134">
        <f>3220*90%</f>
        <v>2898</v>
      </c>
      <c r="F21" s="17">
        <f>D21*E21</f>
        <v>2898</v>
      </c>
      <c r="G21" s="17"/>
      <c r="H21" s="17">
        <f>F21+G21</f>
        <v>2898</v>
      </c>
      <c r="I21" s="194">
        <v>0.3</v>
      </c>
      <c r="J21" s="17">
        <f>ROUND(H21*I21,1)</f>
        <v>869.4</v>
      </c>
      <c r="K21" s="194">
        <v>0.2</v>
      </c>
      <c r="L21" s="17">
        <f t="shared" si="1"/>
        <v>579.6</v>
      </c>
      <c r="M21" s="189"/>
      <c r="N21" s="17"/>
      <c r="O21" s="17"/>
      <c r="P21" s="17" t="s">
        <v>396</v>
      </c>
      <c r="Q21" s="17"/>
      <c r="R21" s="17"/>
      <c r="S21" s="201">
        <f>ROUND(H21+J21+L21+N21+O21+R21,1)</f>
        <v>4347</v>
      </c>
      <c r="T21" s="201">
        <f t="shared" si="9"/>
        <v>2173.5</v>
      </c>
      <c r="U21" s="201">
        <f t="shared" si="10"/>
        <v>2173.5</v>
      </c>
      <c r="V21" s="204">
        <f>IF(U21&gt;6650*D21,6650*D21,U21)</f>
        <v>2173.5</v>
      </c>
      <c r="W21" s="201">
        <f>H21</f>
        <v>2898</v>
      </c>
      <c r="X21" s="201">
        <f>ROUND((W21+T21)/12,1)</f>
        <v>422.6</v>
      </c>
      <c r="Y21" s="201"/>
      <c r="Z21" s="201">
        <f>ROUND((S21*12+T21+U21+W21+X21+Y21)/1000,1)</f>
        <v>59.8</v>
      </c>
      <c r="AA21" s="201">
        <f t="shared" si="15"/>
        <v>13.3</v>
      </c>
      <c r="AB21" s="209">
        <f>ROUND(Z21*4.5%,1)</f>
        <v>2.7</v>
      </c>
      <c r="AC21" s="201">
        <f t="shared" ref="AC21:AC27" si="19">Z21+AA21+AB21</f>
        <v>75.8</v>
      </c>
    </row>
    <row r="22" spans="1:58" x14ac:dyDescent="0.2">
      <c r="A22" s="18">
        <v>2</v>
      </c>
      <c r="B22" s="18"/>
      <c r="C22" s="70" t="s">
        <v>396</v>
      </c>
      <c r="D22" s="135"/>
      <c r="E22" s="135"/>
      <c r="F22" s="17">
        <f t="shared" si="2"/>
        <v>0</v>
      </c>
      <c r="G22" s="17">
        <f t="shared" si="3"/>
        <v>0</v>
      </c>
      <c r="H22" s="17">
        <f t="shared" si="4"/>
        <v>0</v>
      </c>
      <c r="I22" s="194"/>
      <c r="J22" s="17">
        <f t="shared" ref="J22:J24" si="20">ROUND(H22*I22,1)</f>
        <v>0</v>
      </c>
      <c r="K22" s="194"/>
      <c r="L22" s="17">
        <f t="shared" si="1"/>
        <v>0</v>
      </c>
      <c r="M22" s="189"/>
      <c r="N22" s="17"/>
      <c r="O22" s="17"/>
      <c r="P22" s="17" t="s">
        <v>396</v>
      </c>
      <c r="Q22" s="17"/>
      <c r="R22" s="17"/>
      <c r="S22" s="201">
        <f t="shared" ref="S22:S24" si="21">H22+J22+L22+N22+O22+R22</f>
        <v>0</v>
      </c>
      <c r="T22" s="201">
        <f t="shared" si="9"/>
        <v>0</v>
      </c>
      <c r="U22" s="201">
        <f t="shared" si="10"/>
        <v>0</v>
      </c>
      <c r="V22" s="204">
        <f t="shared" ref="V22:V24" si="22">IF(U22&gt;6650*D22,6650*D22,U22)</f>
        <v>0</v>
      </c>
      <c r="W22" s="201">
        <f>H22</f>
        <v>0</v>
      </c>
      <c r="X22" s="201">
        <f>ROUND((W22+T22)/12,1)</f>
        <v>0</v>
      </c>
      <c r="Y22" s="201"/>
      <c r="Z22" s="201">
        <f t="shared" ref="Z22:Z27" si="23">ROUND((S22*12+T22+U22+W22+X22+Y22)/1000,1)</f>
        <v>0</v>
      </c>
      <c r="AA22" s="201">
        <f t="shared" si="15"/>
        <v>0</v>
      </c>
      <c r="AB22" s="209">
        <f>ROUND(Z22*4.5%,1)</f>
        <v>0</v>
      </c>
      <c r="AC22" s="201">
        <f>Z22+AA22+AB22</f>
        <v>0</v>
      </c>
    </row>
    <row r="23" spans="1:58" x14ac:dyDescent="0.2">
      <c r="A23" s="18">
        <v>3</v>
      </c>
      <c r="B23" s="18"/>
      <c r="C23" s="70" t="s">
        <v>396</v>
      </c>
      <c r="D23" s="135"/>
      <c r="E23" s="135"/>
      <c r="F23" s="17">
        <f t="shared" si="2"/>
        <v>0</v>
      </c>
      <c r="G23" s="17">
        <f t="shared" si="3"/>
        <v>0</v>
      </c>
      <c r="H23" s="17">
        <f t="shared" si="4"/>
        <v>0</v>
      </c>
      <c r="I23" s="194"/>
      <c r="J23" s="17">
        <f t="shared" si="20"/>
        <v>0</v>
      </c>
      <c r="K23" s="194"/>
      <c r="L23" s="17">
        <f t="shared" si="1"/>
        <v>0</v>
      </c>
      <c r="M23" s="189"/>
      <c r="N23" s="17"/>
      <c r="O23" s="17"/>
      <c r="P23" s="17" t="s">
        <v>396</v>
      </c>
      <c r="Q23" s="17"/>
      <c r="R23" s="17"/>
      <c r="S23" s="201">
        <f t="shared" si="21"/>
        <v>0</v>
      </c>
      <c r="T23" s="201">
        <f t="shared" si="9"/>
        <v>0</v>
      </c>
      <c r="U23" s="201">
        <f t="shared" si="10"/>
        <v>0</v>
      </c>
      <c r="V23" s="270">
        <f t="shared" si="22"/>
        <v>0</v>
      </c>
      <c r="W23" s="208">
        <f t="shared" ref="W23:W24" si="24">H23</f>
        <v>0</v>
      </c>
      <c r="X23" s="208">
        <f t="shared" ref="X23:X27" si="25">ROUND((W23+T23)/12,1)</f>
        <v>0</v>
      </c>
      <c r="Y23" s="208"/>
      <c r="Z23" s="208">
        <f t="shared" si="23"/>
        <v>0</v>
      </c>
      <c r="AA23" s="208">
        <f t="shared" si="15"/>
        <v>0</v>
      </c>
      <c r="AB23" s="271">
        <f t="shared" ref="AB23:AB27" si="26">ROUND(Z23*4.5%,1)</f>
        <v>0</v>
      </c>
      <c r="AC23" s="208">
        <f t="shared" si="19"/>
        <v>0</v>
      </c>
    </row>
    <row r="24" spans="1:58" x14ac:dyDescent="0.2">
      <c r="A24" s="18"/>
      <c r="B24" s="18"/>
      <c r="C24" s="70" t="s">
        <v>396</v>
      </c>
      <c r="D24" s="135"/>
      <c r="E24" s="135"/>
      <c r="F24" s="17">
        <f t="shared" si="2"/>
        <v>0</v>
      </c>
      <c r="G24" s="17">
        <f t="shared" si="3"/>
        <v>0</v>
      </c>
      <c r="H24" s="17">
        <f t="shared" si="4"/>
        <v>0</v>
      </c>
      <c r="I24" s="194"/>
      <c r="J24" s="17">
        <f t="shared" si="20"/>
        <v>0</v>
      </c>
      <c r="K24" s="194"/>
      <c r="L24" s="17">
        <f t="shared" ref="L24" si="27">ROUND(H24*K24,1)</f>
        <v>0</v>
      </c>
      <c r="M24" s="189"/>
      <c r="N24" s="17"/>
      <c r="O24" s="17"/>
      <c r="P24" s="17" t="s">
        <v>396</v>
      </c>
      <c r="Q24" s="17"/>
      <c r="R24" s="17"/>
      <c r="S24" s="201">
        <f t="shared" si="21"/>
        <v>0</v>
      </c>
      <c r="T24" s="201">
        <f t="shared" si="9"/>
        <v>0</v>
      </c>
      <c r="U24" s="201">
        <f t="shared" si="10"/>
        <v>0</v>
      </c>
      <c r="V24" s="204">
        <f t="shared" si="22"/>
        <v>0</v>
      </c>
      <c r="W24" s="201">
        <f t="shared" si="24"/>
        <v>0</v>
      </c>
      <c r="X24" s="201">
        <f t="shared" si="25"/>
        <v>0</v>
      </c>
      <c r="Y24" s="201"/>
      <c r="Z24" s="201">
        <f t="shared" si="23"/>
        <v>0</v>
      </c>
      <c r="AA24" s="201">
        <f t="shared" si="15"/>
        <v>0</v>
      </c>
      <c r="AB24" s="209">
        <f t="shared" si="26"/>
        <v>0</v>
      </c>
      <c r="AC24" s="201">
        <f t="shared" si="19"/>
        <v>0</v>
      </c>
    </row>
    <row r="25" spans="1:58" x14ac:dyDescent="0.2">
      <c r="A25" s="291" t="s">
        <v>410</v>
      </c>
      <c r="B25" s="292"/>
      <c r="C25" s="292"/>
      <c r="D25" s="292"/>
      <c r="E25" s="292"/>
      <c r="F25" s="292"/>
      <c r="G25" s="292"/>
      <c r="H25" s="292"/>
      <c r="I25" s="292"/>
      <c r="J25" s="292"/>
      <c r="K25" s="292"/>
      <c r="L25" s="292"/>
      <c r="M25" s="292"/>
      <c r="N25" s="292"/>
      <c r="O25" s="292"/>
      <c r="P25" s="292"/>
      <c r="Q25" s="292"/>
      <c r="R25" s="292"/>
      <c r="S25" s="292"/>
      <c r="T25" s="292"/>
      <c r="U25" s="292"/>
      <c r="V25" s="367"/>
      <c r="W25" s="367"/>
      <c r="X25" s="20"/>
      <c r="Y25" s="20"/>
      <c r="Z25" s="136"/>
      <c r="AA25" s="20"/>
      <c r="AB25" s="128"/>
      <c r="AC25" s="20"/>
    </row>
    <row r="26" spans="1:58" x14ac:dyDescent="0.2">
      <c r="A26" s="284" t="s">
        <v>411</v>
      </c>
      <c r="B26" s="284"/>
      <c r="C26" s="284"/>
      <c r="D26" s="284"/>
      <c r="E26" s="284"/>
      <c r="F26" s="284"/>
      <c r="G26" s="284"/>
      <c r="H26" s="284"/>
      <c r="I26" s="284"/>
      <c r="J26" s="284"/>
      <c r="K26" s="284"/>
      <c r="L26" s="284"/>
      <c r="M26" s="284"/>
      <c r="N26" s="284"/>
      <c r="O26" s="284"/>
      <c r="P26" s="284"/>
      <c r="Q26" s="284"/>
      <c r="R26" s="284"/>
      <c r="S26" s="284"/>
      <c r="T26" s="284"/>
      <c r="U26" s="284"/>
      <c r="V26" s="284"/>
      <c r="W26" s="284"/>
      <c r="X26" s="20"/>
      <c r="Y26" s="20"/>
      <c r="Z26" s="136"/>
      <c r="AA26" s="20"/>
      <c r="AB26" s="128"/>
      <c r="AC26" s="20"/>
    </row>
    <row r="27" spans="1:58" s="65" customFormat="1" ht="15" x14ac:dyDescent="0.25">
      <c r="A27" s="47" t="s">
        <v>165</v>
      </c>
      <c r="B27" s="48"/>
      <c r="C27" s="48"/>
      <c r="D27" s="48"/>
      <c r="E27" s="48"/>
      <c r="F27" s="48"/>
      <c r="G27" s="48"/>
      <c r="H27" s="48"/>
      <c r="I27" s="48"/>
      <c r="J27" s="48"/>
      <c r="K27" s="48"/>
      <c r="L27" s="48"/>
      <c r="M27" s="48"/>
      <c r="N27" s="48"/>
      <c r="O27" s="48"/>
      <c r="P27" s="48"/>
      <c r="Q27" s="48"/>
      <c r="R27" s="48"/>
      <c r="S27" s="48"/>
      <c r="T27" s="48"/>
      <c r="U27" s="48"/>
      <c r="V27" s="114"/>
      <c r="W27" s="20"/>
      <c r="X27" s="20">
        <f t="shared" si="25"/>
        <v>0</v>
      </c>
      <c r="Y27" s="20">
        <f t="shared" ref="Y27" si="28">(H27+L27)*12</f>
        <v>0</v>
      </c>
      <c r="Z27" s="136">
        <f t="shared" si="23"/>
        <v>0</v>
      </c>
      <c r="AA27" s="20">
        <f t="shared" si="15"/>
        <v>0</v>
      </c>
      <c r="AB27" s="128">
        <f t="shared" si="26"/>
        <v>0</v>
      </c>
      <c r="AC27" s="20">
        <f t="shared" si="19"/>
        <v>0</v>
      </c>
      <c r="AD27" s="20"/>
      <c r="AE27" s="20"/>
      <c r="AF27" s="20"/>
      <c r="AG27" s="20"/>
      <c r="AH27" s="20"/>
      <c r="AI27" s="20"/>
      <c r="AJ27" s="20"/>
      <c r="AK27" s="20"/>
      <c r="AL27" s="20"/>
      <c r="AM27" s="20"/>
      <c r="AN27" s="20"/>
      <c r="AO27" s="20"/>
      <c r="AP27" s="21"/>
      <c r="AQ27" s="21"/>
      <c r="AR27" s="21"/>
      <c r="AS27" s="21"/>
      <c r="AT27" s="19"/>
      <c r="AU27" s="20"/>
      <c r="AV27" s="20"/>
      <c r="AW27" s="102"/>
      <c r="AX27" s="102"/>
      <c r="AY27" s="102"/>
      <c r="AZ27" s="102"/>
      <c r="BA27" s="21"/>
      <c r="BB27" s="37"/>
      <c r="BC27" s="20"/>
      <c r="BD27" s="20"/>
      <c r="BE27" s="20"/>
      <c r="BF27" s="20"/>
    </row>
    <row r="28" spans="1:58" s="20" customFormat="1" ht="16.5" customHeight="1" x14ac:dyDescent="0.2">
      <c r="A28" s="285" t="s">
        <v>407</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94"/>
      <c r="Z28" s="94"/>
      <c r="AA28" s="94"/>
      <c r="AB28" s="94"/>
      <c r="AC28" s="94"/>
      <c r="AD28" s="94"/>
      <c r="AE28" s="94"/>
      <c r="AF28" s="94"/>
      <c r="AG28" s="19"/>
      <c r="AH28" s="19"/>
      <c r="AI28" s="19"/>
      <c r="AJ28" s="19"/>
      <c r="AK28" s="19"/>
      <c r="AL28" s="19"/>
      <c r="AM28" s="19"/>
      <c r="AQ28" s="38"/>
      <c r="AS28" s="22"/>
      <c r="AT28" s="23"/>
      <c r="AU28" s="23"/>
      <c r="AV28" s="23"/>
      <c r="AW28" s="23"/>
      <c r="AX28" s="19"/>
      <c r="AY28" s="19"/>
      <c r="AZ28" s="19"/>
      <c r="BA28" s="19"/>
      <c r="BB28" s="19"/>
      <c r="BC28" s="19"/>
      <c r="BD28" s="19"/>
      <c r="BE28" s="19"/>
      <c r="BF28" s="19"/>
    </row>
    <row r="29" spans="1:58" s="20" customFormat="1" ht="16.5" customHeight="1" x14ac:dyDescent="0.2">
      <c r="A29" s="286" t="s">
        <v>416</v>
      </c>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96"/>
      <c r="Z29" s="94"/>
      <c r="AA29" s="94"/>
      <c r="AB29" s="94"/>
      <c r="AC29" s="94"/>
      <c r="AD29" s="94"/>
      <c r="AE29" s="94"/>
      <c r="AF29" s="94"/>
      <c r="AG29" s="19"/>
      <c r="AH29" s="19"/>
      <c r="AI29" s="19"/>
      <c r="AJ29" s="19"/>
      <c r="AK29" s="19"/>
      <c r="AL29" s="19"/>
      <c r="AM29" s="19"/>
      <c r="AQ29" s="38"/>
      <c r="AS29" s="22"/>
      <c r="AT29" s="23"/>
      <c r="AU29" s="23"/>
      <c r="AV29" s="23"/>
      <c r="AW29" s="23"/>
      <c r="AX29" s="19"/>
      <c r="AY29" s="19"/>
      <c r="AZ29" s="19"/>
      <c r="BA29" s="19"/>
      <c r="BB29" s="19"/>
      <c r="BC29" s="19"/>
      <c r="BD29" s="19"/>
      <c r="BE29" s="19"/>
      <c r="BF29" s="19"/>
    </row>
    <row r="30" spans="1:58" ht="12.75" customHeight="1" x14ac:dyDescent="0.2">
      <c r="A30" s="286"/>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96"/>
      <c r="Z30" s="20"/>
      <c r="AA30" s="20"/>
      <c r="AB30" s="20"/>
      <c r="AC30" s="20"/>
      <c r="AD30" s="20"/>
      <c r="AE30" s="20"/>
    </row>
    <row r="31" spans="1:58" ht="28.5" customHeight="1" x14ac:dyDescent="0.2">
      <c r="A31" s="286" t="s">
        <v>401</v>
      </c>
      <c r="B31" s="286"/>
      <c r="C31" s="286"/>
      <c r="D31" s="286"/>
      <c r="E31" s="286"/>
      <c r="F31" s="286"/>
      <c r="G31" s="286"/>
      <c r="H31" s="286"/>
      <c r="I31" s="286"/>
      <c r="J31" s="286"/>
      <c r="K31" s="286"/>
      <c r="L31" s="286"/>
      <c r="M31" s="286"/>
      <c r="N31" s="286"/>
      <c r="O31" s="286"/>
      <c r="P31" s="286"/>
      <c r="Q31" s="286"/>
      <c r="R31" s="286"/>
      <c r="S31" s="286"/>
      <c r="T31" s="286"/>
      <c r="U31" s="286"/>
      <c r="V31" s="286"/>
      <c r="W31" s="286"/>
      <c r="X31" s="286"/>
      <c r="Y31" s="78"/>
      <c r="Z31" s="20"/>
      <c r="AA31" s="20"/>
      <c r="AB31" s="20"/>
      <c r="AC31" s="20"/>
      <c r="AD31" s="20"/>
      <c r="AE31" s="20"/>
    </row>
    <row r="32" spans="1:58" ht="12.75" customHeight="1" x14ac:dyDescent="0.2">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20"/>
      <c r="AA32" s="20"/>
      <c r="AB32" s="20"/>
      <c r="AC32" s="20"/>
      <c r="AD32" s="20"/>
      <c r="AE32" s="20"/>
    </row>
    <row r="33" spans="1:26" s="181" customFormat="1" ht="17.25" customHeight="1" x14ac:dyDescent="0.25">
      <c r="A33" s="298" t="s">
        <v>542</v>
      </c>
      <c r="B33" s="298"/>
      <c r="C33" s="298"/>
      <c r="D33" s="298"/>
      <c r="E33" s="298"/>
      <c r="F33" s="298"/>
      <c r="G33" s="304"/>
      <c r="H33" s="304"/>
      <c r="I33" s="304"/>
      <c r="J33" s="304"/>
      <c r="K33" s="180"/>
      <c r="L33" s="48"/>
      <c r="M33" s="299"/>
      <c r="N33" s="299"/>
      <c r="O33" s="299"/>
      <c r="R33" s="179"/>
      <c r="S33" s="179"/>
      <c r="T33" s="179"/>
      <c r="U33" s="179"/>
      <c r="V33" s="179"/>
      <c r="W33" s="179"/>
      <c r="X33" s="179"/>
    </row>
    <row r="34" spans="1:26" s="181" customFormat="1" ht="16.899999999999999" customHeight="1" x14ac:dyDescent="0.25">
      <c r="A34" s="179"/>
      <c r="B34" s="179"/>
      <c r="C34" s="179"/>
      <c r="D34" s="179"/>
      <c r="E34" s="179"/>
      <c r="F34" s="179"/>
      <c r="G34" s="301" t="s">
        <v>538</v>
      </c>
      <c r="H34" s="301"/>
      <c r="I34" s="301"/>
      <c r="J34" s="301"/>
      <c r="K34" s="179"/>
      <c r="L34" s="179"/>
      <c r="M34" s="362" t="s">
        <v>539</v>
      </c>
      <c r="N34" s="362"/>
      <c r="O34" s="362"/>
      <c r="R34" s="179"/>
      <c r="S34" s="179"/>
      <c r="T34" s="179"/>
      <c r="U34" s="179"/>
      <c r="V34" s="179"/>
      <c r="W34" s="179"/>
      <c r="X34" s="179"/>
    </row>
    <row r="35" spans="1:26" customFormat="1" ht="18.75" customHeight="1" x14ac:dyDescent="0.25">
      <c r="A35" s="298" t="s">
        <v>540</v>
      </c>
      <c r="B35" s="298"/>
      <c r="C35" s="298"/>
      <c r="D35" s="298"/>
      <c r="E35" s="298"/>
      <c r="F35" s="298"/>
      <c r="G35" s="299"/>
      <c r="H35" s="299"/>
      <c r="I35" s="299"/>
      <c r="J35" s="299"/>
      <c r="K35" s="182"/>
      <c r="L35" s="299"/>
      <c r="M35" s="299"/>
      <c r="N35" s="299"/>
      <c r="O35" s="299"/>
      <c r="P35" s="183"/>
      <c r="Q35" s="300"/>
      <c r="R35" s="300"/>
      <c r="S35" s="300"/>
      <c r="T35" s="300"/>
      <c r="U35" s="178"/>
      <c r="V35" s="178"/>
      <c r="W35" s="178"/>
      <c r="X35" s="178"/>
      <c r="Y35" s="178"/>
      <c r="Z35" s="178"/>
    </row>
    <row r="36" spans="1:26" customFormat="1" ht="15" customHeight="1" x14ac:dyDescent="0.25">
      <c r="A36" s="184"/>
      <c r="B36" s="184"/>
      <c r="C36" s="184"/>
      <c r="D36" s="184"/>
      <c r="E36" s="78"/>
      <c r="F36" s="78"/>
      <c r="G36" s="301" t="s">
        <v>538</v>
      </c>
      <c r="H36" s="301"/>
      <c r="I36" s="301"/>
      <c r="J36" s="301"/>
      <c r="K36" s="185"/>
      <c r="L36" s="302" t="s">
        <v>304</v>
      </c>
      <c r="M36" s="302"/>
      <c r="N36" s="302"/>
      <c r="O36" s="302"/>
      <c r="P36" s="138"/>
      <c r="Q36" s="303" t="s">
        <v>541</v>
      </c>
      <c r="R36" s="303"/>
      <c r="S36" s="303"/>
      <c r="T36" s="303"/>
      <c r="U36" s="178"/>
      <c r="V36" s="178"/>
      <c r="W36" s="178"/>
      <c r="X36" s="178"/>
      <c r="Y36" s="178"/>
      <c r="Z36" s="178"/>
    </row>
  </sheetData>
  <mergeCells count="52">
    <mergeCell ref="Q35:T35"/>
    <mergeCell ref="G36:J36"/>
    <mergeCell ref="L36:O36"/>
    <mergeCell ref="Q36:T36"/>
    <mergeCell ref="A33:F33"/>
    <mergeCell ref="G33:J33"/>
    <mergeCell ref="G34:J34"/>
    <mergeCell ref="M33:O33"/>
    <mergeCell ref="M34:O34"/>
    <mergeCell ref="A35:F35"/>
    <mergeCell ref="G35:J35"/>
    <mergeCell ref="L35:O35"/>
    <mergeCell ref="A25:W25"/>
    <mergeCell ref="A26:W26"/>
    <mergeCell ref="A28:X28"/>
    <mergeCell ref="A29:X30"/>
    <mergeCell ref="A31:X31"/>
    <mergeCell ref="N11:N12"/>
    <mergeCell ref="T7:T12"/>
    <mergeCell ref="U7:V8"/>
    <mergeCell ref="P7:P12"/>
    <mergeCell ref="M7:N10"/>
    <mergeCell ref="O7:O12"/>
    <mergeCell ref="M11:M12"/>
    <mergeCell ref="W7:W12"/>
    <mergeCell ref="Z7:Z12"/>
    <mergeCell ref="AA7:AA12"/>
    <mergeCell ref="AB7:AB12"/>
    <mergeCell ref="Q7:R11"/>
    <mergeCell ref="U9:U12"/>
    <mergeCell ref="V9:V12"/>
    <mergeCell ref="A1:AC1"/>
    <mergeCell ref="X7:X12"/>
    <mergeCell ref="E10:E12"/>
    <mergeCell ref="F10:F12"/>
    <mergeCell ref="AC7:AC12"/>
    <mergeCell ref="I7:J11"/>
    <mergeCell ref="A2:AC2"/>
    <mergeCell ref="A7:A12"/>
    <mergeCell ref="B7:B12"/>
    <mergeCell ref="C7:C12"/>
    <mergeCell ref="D7:D12"/>
    <mergeCell ref="E7:F9"/>
    <mergeCell ref="S7:S12"/>
    <mergeCell ref="G7:G12"/>
    <mergeCell ref="H7:H12"/>
    <mergeCell ref="Y7:Y12"/>
    <mergeCell ref="B4:C5"/>
    <mergeCell ref="E4:I4"/>
    <mergeCell ref="K4:K5"/>
    <mergeCell ref="E5:I5"/>
    <mergeCell ref="K7:L11"/>
  </mergeCells>
  <printOptions horizontalCentered="1"/>
  <pageMargins left="0.31496062992126" right="0.31496062992126" top="0.66929133858267698" bottom="0.66929133858267698" header="0.31496062992126" footer="0.31496062992126"/>
  <pageSetup paperSize="8" scale="70" fitToWidth="3" fitToHeight="80" orientation="landscape" r:id="rId1"/>
  <headerFooter>
    <oddHeader>&amp;RTabel nr.12</oddHeader>
    <oddFooter>&amp;R&amp;"-,полужирный"&amp;8&amp;P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BF36"/>
  <sheetViews>
    <sheetView showZeros="0" view="pageBreakPreview" zoomScale="71" zoomScaleNormal="71" zoomScaleSheetLayoutView="71" workbookViewId="0">
      <selection activeCell="D19" sqref="D19:E19"/>
    </sheetView>
  </sheetViews>
  <sheetFormatPr defaultColWidth="8.85546875" defaultRowHeight="12.75" x14ac:dyDescent="0.2"/>
  <cols>
    <col min="1" max="1" width="6.140625" style="21" customWidth="1"/>
    <col min="2" max="2" width="14" style="21" customWidth="1"/>
    <col min="3" max="4" width="5.5703125" style="21" customWidth="1"/>
    <col min="5" max="5" width="8.28515625" style="21" customWidth="1"/>
    <col min="6" max="6" width="9.5703125" style="21" customWidth="1"/>
    <col min="7" max="7" width="7.28515625" style="21" customWidth="1"/>
    <col min="8" max="8" width="10.28515625" style="21" customWidth="1"/>
    <col min="9" max="9" width="6.5703125" style="21" customWidth="1"/>
    <col min="10" max="10" width="8.85546875" style="21" customWidth="1"/>
    <col min="11" max="11" width="12.42578125" style="21" customWidth="1"/>
    <col min="12" max="12" width="9" style="21" customWidth="1"/>
    <col min="13" max="13" width="10.140625" style="21" customWidth="1"/>
    <col min="14" max="14" width="16.85546875" style="21" customWidth="1"/>
    <col min="15" max="15" width="11" style="21" customWidth="1"/>
    <col min="16" max="16" width="5.42578125" style="21" customWidth="1"/>
    <col min="17" max="17" width="7.28515625" style="21" customWidth="1"/>
    <col min="18" max="18" width="12.42578125" style="21" customWidth="1"/>
    <col min="19" max="19" width="13" style="21" customWidth="1"/>
    <col min="20" max="20" width="12.85546875" style="21" customWidth="1"/>
    <col min="21" max="21" width="15.7109375" style="21" customWidth="1"/>
    <col min="22" max="23" width="10.5703125" style="21" customWidth="1"/>
    <col min="24" max="24" width="11.42578125" style="21" customWidth="1"/>
    <col min="25" max="26" width="11.28515625" style="21" customWidth="1"/>
    <col min="27" max="27" width="11.42578125" style="21" customWidth="1"/>
    <col min="28" max="28" width="10.85546875" style="21" customWidth="1"/>
    <col min="29" max="16384" width="8.85546875" style="21"/>
  </cols>
  <sheetData>
    <row r="1" spans="1:51" s="25" customFormat="1" ht="15.75" x14ac:dyDescent="0.25">
      <c r="A1" s="356" t="s">
        <v>394</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67"/>
      <c r="AD1" s="67"/>
      <c r="AE1" s="67"/>
      <c r="AF1" s="26"/>
      <c r="AG1" s="26"/>
      <c r="AH1" s="26"/>
      <c r="AI1" s="26"/>
      <c r="AJ1" s="26"/>
      <c r="AK1" s="26"/>
    </row>
    <row r="2" spans="1:51" x14ac:dyDescent="0.2">
      <c r="A2" s="357" t="s">
        <v>137</v>
      </c>
      <c r="B2" s="357"/>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c r="AC2" s="54"/>
      <c r="AD2" s="55"/>
      <c r="AE2" s="55"/>
      <c r="AF2" s="55"/>
      <c r="AG2" s="55"/>
      <c r="AH2" s="55"/>
      <c r="AI2" s="20"/>
      <c r="AJ2" s="20"/>
      <c r="AK2" s="20"/>
      <c r="AL2" s="20"/>
      <c r="AM2" s="20"/>
      <c r="AN2" s="20"/>
      <c r="AO2" s="20"/>
      <c r="AP2" s="20"/>
      <c r="AQ2" s="20"/>
      <c r="AR2" s="20"/>
      <c r="AS2" s="20"/>
      <c r="AT2" s="20"/>
      <c r="AU2" s="20"/>
      <c r="AV2" s="20"/>
      <c r="AW2" s="20"/>
      <c r="AX2" s="20"/>
      <c r="AY2" s="20"/>
    </row>
    <row r="3" spans="1:51" x14ac:dyDescent="0.2">
      <c r="A3" s="71"/>
      <c r="B3" s="71"/>
      <c r="C3" s="71"/>
      <c r="D3" s="71"/>
      <c r="E3" s="71"/>
      <c r="F3" s="71"/>
      <c r="G3" s="71"/>
      <c r="H3" s="71"/>
      <c r="I3" s="71"/>
      <c r="J3" s="71"/>
      <c r="K3" s="71"/>
      <c r="L3" s="71"/>
      <c r="M3" s="71"/>
      <c r="N3" s="71"/>
      <c r="O3" s="71"/>
      <c r="P3" s="71"/>
      <c r="Q3" s="71"/>
      <c r="R3" s="71"/>
      <c r="S3" s="71"/>
      <c r="T3" s="71"/>
      <c r="U3" s="71"/>
      <c r="V3" s="71"/>
      <c r="W3" s="71"/>
      <c r="X3" s="72"/>
      <c r="Y3" s="71"/>
      <c r="Z3" s="71"/>
      <c r="AA3" s="71"/>
      <c r="AB3" s="71"/>
      <c r="AC3" s="54"/>
      <c r="AD3" s="55"/>
      <c r="AE3" s="55"/>
      <c r="AF3" s="55"/>
      <c r="AG3" s="55"/>
      <c r="AH3" s="55"/>
      <c r="AI3" s="20"/>
      <c r="AJ3" s="20"/>
      <c r="AK3" s="20"/>
      <c r="AL3" s="20"/>
      <c r="AM3" s="20"/>
      <c r="AN3" s="20"/>
      <c r="AO3" s="20"/>
      <c r="AP3" s="20"/>
      <c r="AQ3" s="20"/>
      <c r="AR3" s="20"/>
      <c r="AS3" s="20"/>
      <c r="AT3" s="20"/>
      <c r="AU3" s="20"/>
      <c r="AV3" s="20"/>
      <c r="AW3" s="20"/>
      <c r="AX3" s="20"/>
      <c r="AY3" s="20"/>
    </row>
    <row r="4" spans="1:51" x14ac:dyDescent="0.2">
      <c r="A4" s="71"/>
      <c r="B4" s="350" t="s">
        <v>307</v>
      </c>
      <c r="C4" s="350"/>
      <c r="D4" s="79"/>
      <c r="E4" s="289" t="s">
        <v>308</v>
      </c>
      <c r="F4" s="289"/>
      <c r="G4" s="289"/>
      <c r="H4" s="289"/>
      <c r="I4" s="289"/>
      <c r="J4" s="75"/>
      <c r="K4" s="296" t="s">
        <v>164</v>
      </c>
      <c r="L4" s="80" t="s">
        <v>309</v>
      </c>
      <c r="M4" s="80" t="s">
        <v>310</v>
      </c>
      <c r="N4" s="80" t="s">
        <v>311</v>
      </c>
      <c r="O4" s="80" t="s">
        <v>312</v>
      </c>
      <c r="P4" s="80" t="s">
        <v>313</v>
      </c>
      <c r="Q4" s="71"/>
      <c r="R4" s="71"/>
      <c r="S4" s="71"/>
      <c r="T4" s="71"/>
      <c r="U4" s="71"/>
      <c r="V4" s="71"/>
      <c r="W4" s="71"/>
      <c r="X4" s="72"/>
      <c r="Y4" s="71"/>
      <c r="Z4" s="71"/>
      <c r="AA4" s="71"/>
      <c r="AB4" s="71"/>
      <c r="AC4" s="54"/>
      <c r="AD4" s="55"/>
      <c r="AE4" s="55"/>
      <c r="AF4" s="55"/>
      <c r="AG4" s="55"/>
      <c r="AH4" s="55"/>
      <c r="AI4" s="20"/>
      <c r="AJ4" s="20"/>
      <c r="AK4" s="20"/>
      <c r="AL4" s="20"/>
      <c r="AM4" s="20"/>
      <c r="AN4" s="20"/>
      <c r="AO4" s="20"/>
      <c r="AP4" s="20"/>
      <c r="AQ4" s="20"/>
      <c r="AR4" s="20"/>
      <c r="AS4" s="20"/>
      <c r="AT4" s="20"/>
      <c r="AU4" s="20"/>
      <c r="AV4" s="20"/>
      <c r="AW4" s="20"/>
      <c r="AX4" s="20"/>
      <c r="AY4" s="20"/>
    </row>
    <row r="5" spans="1:51" x14ac:dyDescent="0.2">
      <c r="B5" s="350"/>
      <c r="C5" s="350"/>
      <c r="D5" s="32"/>
      <c r="E5" s="290" t="s">
        <v>314</v>
      </c>
      <c r="F5" s="290"/>
      <c r="G5" s="290"/>
      <c r="H5" s="290"/>
      <c r="I5" s="290"/>
      <c r="J5" s="32"/>
      <c r="K5" s="296"/>
      <c r="L5" s="81"/>
      <c r="M5" s="81"/>
      <c r="N5" s="81"/>
      <c r="O5" s="81"/>
      <c r="P5" s="81"/>
      <c r="R5" s="29"/>
      <c r="S5" s="29"/>
      <c r="U5" s="29"/>
      <c r="V5" s="30"/>
      <c r="W5" s="19"/>
      <c r="X5" s="19"/>
      <c r="Y5" s="19"/>
      <c r="Z5" s="20"/>
      <c r="AA5" s="19"/>
      <c r="AB5" s="31"/>
    </row>
    <row r="6" spans="1:51" x14ac:dyDescent="0.2">
      <c r="A6" s="32"/>
      <c r="B6" s="32"/>
      <c r="C6" s="32"/>
      <c r="D6" s="32"/>
      <c r="E6" s="32"/>
      <c r="F6" s="32"/>
      <c r="G6" s="32"/>
      <c r="H6" s="32"/>
      <c r="I6" s="32"/>
      <c r="J6" s="34"/>
      <c r="K6" s="32"/>
      <c r="L6" s="32"/>
      <c r="M6" s="34"/>
      <c r="N6" s="34"/>
      <c r="O6" s="34"/>
      <c r="P6" s="32"/>
      <c r="S6" s="32"/>
      <c r="T6" s="32"/>
      <c r="U6" s="32"/>
      <c r="V6" s="32"/>
      <c r="W6" s="32"/>
      <c r="X6" s="32"/>
      <c r="Y6" s="32"/>
      <c r="Z6" s="32"/>
      <c r="AA6" s="32"/>
      <c r="AB6" s="32"/>
    </row>
    <row r="7" spans="1:51" ht="48" customHeight="1" x14ac:dyDescent="0.2">
      <c r="A7" s="363" t="s">
        <v>2</v>
      </c>
      <c r="B7" s="363" t="s">
        <v>88</v>
      </c>
      <c r="C7" s="370" t="s">
        <v>0</v>
      </c>
      <c r="D7" s="370" t="s">
        <v>20</v>
      </c>
      <c r="E7" s="363" t="s">
        <v>392</v>
      </c>
      <c r="F7" s="363"/>
      <c r="G7" s="327" t="s">
        <v>290</v>
      </c>
      <c r="H7" s="293" t="s">
        <v>208</v>
      </c>
      <c r="I7" s="293" t="s">
        <v>233</v>
      </c>
      <c r="J7" s="293"/>
      <c r="K7" s="293" t="s">
        <v>195</v>
      </c>
      <c r="L7" s="293"/>
      <c r="M7" s="293" t="s">
        <v>235</v>
      </c>
      <c r="N7" s="317" t="s">
        <v>234</v>
      </c>
      <c r="O7" s="317" t="s">
        <v>230</v>
      </c>
      <c r="P7" s="293" t="s">
        <v>315</v>
      </c>
      <c r="Q7" s="293"/>
      <c r="R7" s="363" t="s">
        <v>162</v>
      </c>
      <c r="S7" s="324" t="s">
        <v>236</v>
      </c>
      <c r="T7" s="293" t="s">
        <v>237</v>
      </c>
      <c r="U7" s="293"/>
      <c r="V7" s="293" t="s">
        <v>187</v>
      </c>
      <c r="W7" s="317" t="s">
        <v>291</v>
      </c>
      <c r="X7" s="317" t="s">
        <v>372</v>
      </c>
      <c r="Y7" s="363" t="s">
        <v>163</v>
      </c>
      <c r="Z7" s="320" t="s">
        <v>200</v>
      </c>
      <c r="AA7" s="320" t="s">
        <v>201</v>
      </c>
      <c r="AB7" s="293" t="s">
        <v>192</v>
      </c>
    </row>
    <row r="8" spans="1:51" ht="21.6" customHeight="1" x14ac:dyDescent="0.2">
      <c r="A8" s="363"/>
      <c r="B8" s="363"/>
      <c r="C8" s="370"/>
      <c r="D8" s="370"/>
      <c r="E8" s="363"/>
      <c r="F8" s="363"/>
      <c r="G8" s="368"/>
      <c r="H8" s="293"/>
      <c r="I8" s="293"/>
      <c r="J8" s="293"/>
      <c r="K8" s="293"/>
      <c r="L8" s="293"/>
      <c r="M8" s="293"/>
      <c r="N8" s="319"/>
      <c r="O8" s="319"/>
      <c r="P8" s="293"/>
      <c r="Q8" s="293"/>
      <c r="R8" s="363"/>
      <c r="S8" s="324"/>
      <c r="T8" s="293" t="s">
        <v>15</v>
      </c>
      <c r="U8" s="320" t="s">
        <v>306</v>
      </c>
      <c r="V8" s="293"/>
      <c r="W8" s="319"/>
      <c r="X8" s="319"/>
      <c r="Y8" s="363"/>
      <c r="Z8" s="320"/>
      <c r="AA8" s="320"/>
      <c r="AB8" s="293"/>
    </row>
    <row r="9" spans="1:51" ht="24.6" customHeight="1" x14ac:dyDescent="0.2">
      <c r="A9" s="363"/>
      <c r="B9" s="363"/>
      <c r="C9" s="370"/>
      <c r="D9" s="370"/>
      <c r="E9" s="363"/>
      <c r="F9" s="363"/>
      <c r="G9" s="368"/>
      <c r="H9" s="293"/>
      <c r="I9" s="293"/>
      <c r="J9" s="293"/>
      <c r="K9" s="293"/>
      <c r="L9" s="293"/>
      <c r="M9" s="293"/>
      <c r="N9" s="319"/>
      <c r="O9" s="319"/>
      <c r="P9" s="293"/>
      <c r="Q9" s="293"/>
      <c r="R9" s="363"/>
      <c r="S9" s="324"/>
      <c r="T9" s="293"/>
      <c r="U9" s="320"/>
      <c r="V9" s="293"/>
      <c r="W9" s="319"/>
      <c r="X9" s="319"/>
      <c r="Y9" s="363"/>
      <c r="Z9" s="320"/>
      <c r="AA9" s="320"/>
      <c r="AB9" s="293"/>
    </row>
    <row r="10" spans="1:51" ht="15.75" customHeight="1" x14ac:dyDescent="0.2">
      <c r="A10" s="363"/>
      <c r="B10" s="363"/>
      <c r="C10" s="370"/>
      <c r="D10" s="370"/>
      <c r="E10" s="293" t="s">
        <v>21</v>
      </c>
      <c r="F10" s="293" t="s">
        <v>22</v>
      </c>
      <c r="G10" s="368"/>
      <c r="H10" s="293"/>
      <c r="I10" s="293"/>
      <c r="J10" s="293"/>
      <c r="K10" s="293"/>
      <c r="L10" s="293"/>
      <c r="M10" s="293"/>
      <c r="N10" s="319"/>
      <c r="O10" s="319"/>
      <c r="P10" s="293"/>
      <c r="Q10" s="293"/>
      <c r="R10" s="363"/>
      <c r="S10" s="324"/>
      <c r="T10" s="293"/>
      <c r="U10" s="320"/>
      <c r="V10" s="293"/>
      <c r="W10" s="319"/>
      <c r="X10" s="319"/>
      <c r="Y10" s="363"/>
      <c r="Z10" s="320"/>
      <c r="AA10" s="320"/>
      <c r="AB10" s="293"/>
    </row>
    <row r="11" spans="1:51" ht="15" customHeight="1" x14ac:dyDescent="0.2">
      <c r="A11" s="363"/>
      <c r="B11" s="363"/>
      <c r="C11" s="370"/>
      <c r="D11" s="370"/>
      <c r="E11" s="293"/>
      <c r="F11" s="293"/>
      <c r="G11" s="368"/>
      <c r="H11" s="293"/>
      <c r="I11" s="293"/>
      <c r="J11" s="293"/>
      <c r="K11" s="324" t="s">
        <v>10</v>
      </c>
      <c r="L11" s="293" t="s">
        <v>142</v>
      </c>
      <c r="M11" s="293"/>
      <c r="N11" s="319"/>
      <c r="O11" s="319"/>
      <c r="P11" s="293"/>
      <c r="Q11" s="293"/>
      <c r="R11" s="363"/>
      <c r="S11" s="324"/>
      <c r="T11" s="293"/>
      <c r="U11" s="320"/>
      <c r="V11" s="293"/>
      <c r="W11" s="319"/>
      <c r="X11" s="319"/>
      <c r="Y11" s="363"/>
      <c r="Z11" s="320"/>
      <c r="AA11" s="320"/>
      <c r="AB11" s="293"/>
    </row>
    <row r="12" spans="1:51" ht="40.5" customHeight="1" x14ac:dyDescent="0.2">
      <c r="A12" s="363"/>
      <c r="B12" s="363"/>
      <c r="C12" s="370"/>
      <c r="D12" s="370"/>
      <c r="E12" s="293"/>
      <c r="F12" s="293"/>
      <c r="G12" s="369"/>
      <c r="H12" s="293"/>
      <c r="I12" s="46" t="s">
        <v>1</v>
      </c>
      <c r="J12" s="46" t="s">
        <v>142</v>
      </c>
      <c r="K12" s="324"/>
      <c r="L12" s="293"/>
      <c r="M12" s="293"/>
      <c r="N12" s="318"/>
      <c r="O12" s="318"/>
      <c r="P12" s="35" t="s">
        <v>1</v>
      </c>
      <c r="Q12" s="46" t="s">
        <v>142</v>
      </c>
      <c r="R12" s="363"/>
      <c r="S12" s="324"/>
      <c r="T12" s="293"/>
      <c r="U12" s="320"/>
      <c r="V12" s="293"/>
      <c r="W12" s="318"/>
      <c r="X12" s="318"/>
      <c r="Y12" s="363"/>
      <c r="Z12" s="320"/>
      <c r="AA12" s="320"/>
      <c r="AB12" s="293"/>
    </row>
    <row r="13" spans="1:51" s="66" customFormat="1" ht="45" customHeight="1" x14ac:dyDescent="0.25">
      <c r="A13" s="13">
        <v>1</v>
      </c>
      <c r="B13" s="13">
        <v>2</v>
      </c>
      <c r="C13" s="13">
        <v>3</v>
      </c>
      <c r="D13" s="13">
        <v>4</v>
      </c>
      <c r="E13" s="13">
        <v>5</v>
      </c>
      <c r="F13" s="13" t="s">
        <v>12</v>
      </c>
      <c r="G13" s="13">
        <v>7</v>
      </c>
      <c r="H13" s="13" t="s">
        <v>24</v>
      </c>
      <c r="I13" s="14">
        <v>9</v>
      </c>
      <c r="J13" s="14" t="s">
        <v>36</v>
      </c>
      <c r="K13" s="13">
        <v>11</v>
      </c>
      <c r="L13" s="13">
        <v>12</v>
      </c>
      <c r="M13" s="13" t="s">
        <v>49</v>
      </c>
      <c r="N13" s="13" t="s">
        <v>121</v>
      </c>
      <c r="O13" s="13" t="s">
        <v>122</v>
      </c>
      <c r="P13" s="13">
        <v>16</v>
      </c>
      <c r="Q13" s="13">
        <v>17</v>
      </c>
      <c r="R13" s="13" t="s">
        <v>123</v>
      </c>
      <c r="S13" s="68" t="s">
        <v>62</v>
      </c>
      <c r="T13" s="14" t="s">
        <v>63</v>
      </c>
      <c r="U13" s="16">
        <v>21</v>
      </c>
      <c r="V13" s="13" t="s">
        <v>61</v>
      </c>
      <c r="W13" s="13" t="s">
        <v>292</v>
      </c>
      <c r="X13" s="13">
        <v>24</v>
      </c>
      <c r="Y13" s="13" t="s">
        <v>389</v>
      </c>
      <c r="Z13" s="16" t="s">
        <v>390</v>
      </c>
      <c r="AA13" s="16" t="s">
        <v>393</v>
      </c>
      <c r="AB13" s="13" t="s">
        <v>128</v>
      </c>
    </row>
    <row r="14" spans="1:51" s="87" customFormat="1" ht="51" x14ac:dyDescent="0.2">
      <c r="A14" s="84"/>
      <c r="B14" s="86" t="s">
        <v>318</v>
      </c>
      <c r="C14" s="84"/>
      <c r="D14" s="116">
        <f t="shared" ref="D14:AA14" si="0">SUM(D15:D17)</f>
        <v>1</v>
      </c>
      <c r="E14" s="263">
        <f t="shared" si="0"/>
        <v>1480</v>
      </c>
      <c r="F14" s="263">
        <f t="shared" si="0"/>
        <v>1480</v>
      </c>
      <c r="G14" s="263">
        <f t="shared" si="0"/>
        <v>0</v>
      </c>
      <c r="H14" s="263">
        <f t="shared" si="0"/>
        <v>1480</v>
      </c>
      <c r="I14" s="263"/>
      <c r="J14" s="263">
        <f t="shared" si="0"/>
        <v>148</v>
      </c>
      <c r="K14" s="263">
        <f t="shared" si="0"/>
        <v>0</v>
      </c>
      <c r="L14" s="263">
        <f t="shared" si="0"/>
        <v>0</v>
      </c>
      <c r="M14" s="263">
        <f t="shared" si="0"/>
        <v>0</v>
      </c>
      <c r="N14" s="263">
        <f t="shared" si="0"/>
        <v>0</v>
      </c>
      <c r="O14" s="263">
        <f t="shared" si="0"/>
        <v>296</v>
      </c>
      <c r="P14" s="263">
        <f t="shared" si="0"/>
        <v>0</v>
      </c>
      <c r="Q14" s="263">
        <f t="shared" si="0"/>
        <v>0</v>
      </c>
      <c r="R14" s="262">
        <f t="shared" si="0"/>
        <v>1924</v>
      </c>
      <c r="S14" s="262">
        <f t="shared" si="0"/>
        <v>3848</v>
      </c>
      <c r="T14" s="262">
        <f t="shared" si="0"/>
        <v>2244.6666666666665</v>
      </c>
      <c r="U14" s="262">
        <f t="shared" si="0"/>
        <v>2244.6999999999998</v>
      </c>
      <c r="V14" s="262">
        <f t="shared" si="0"/>
        <v>1480</v>
      </c>
      <c r="W14" s="262">
        <f t="shared" si="0"/>
        <v>444</v>
      </c>
      <c r="X14" s="262">
        <f t="shared" si="0"/>
        <v>0</v>
      </c>
      <c r="Y14" s="262">
        <f t="shared" si="0"/>
        <v>31.104666666666667</v>
      </c>
      <c r="Z14" s="262">
        <f t="shared" si="0"/>
        <v>6.6377923333333335</v>
      </c>
      <c r="AA14" s="262">
        <f t="shared" si="0"/>
        <v>1.39971</v>
      </c>
      <c r="AB14" s="262">
        <f>SUM(AB15:AB17)</f>
        <v>39.142168999999996</v>
      </c>
    </row>
    <row r="15" spans="1:51" ht="14.45" customHeight="1" x14ac:dyDescent="0.2">
      <c r="A15" s="18">
        <v>1</v>
      </c>
      <c r="B15" s="89" t="s">
        <v>395</v>
      </c>
      <c r="C15" s="89">
        <v>16</v>
      </c>
      <c r="D15" s="89">
        <v>1</v>
      </c>
      <c r="E15" s="272">
        <v>1480</v>
      </c>
      <c r="F15" s="272">
        <f>D15*E15</f>
        <v>1480</v>
      </c>
      <c r="G15" s="272"/>
      <c r="H15" s="272">
        <f>F15</f>
        <v>1480</v>
      </c>
      <c r="I15" s="273">
        <v>0.1</v>
      </c>
      <c r="J15" s="272">
        <f>H15*I15</f>
        <v>148</v>
      </c>
      <c r="K15" s="274"/>
      <c r="L15" s="272"/>
      <c r="M15" s="272"/>
      <c r="N15" s="272"/>
      <c r="O15" s="272">
        <f>H15*20%</f>
        <v>296</v>
      </c>
      <c r="P15" s="273"/>
      <c r="Q15" s="272"/>
      <c r="R15" s="277">
        <f>H15+J15+M15+N15+O15+Q15+L15</f>
        <v>1924</v>
      </c>
      <c r="S15" s="278">
        <f>R15*2</f>
        <v>3848</v>
      </c>
      <c r="T15" s="277">
        <f>R15+S15/12</f>
        <v>2244.6666666666665</v>
      </c>
      <c r="U15" s="279">
        <f>ROUND((IF(T15&gt;6650*D15,6650*D15,T15)),1)</f>
        <v>2244.6999999999998</v>
      </c>
      <c r="V15" s="277">
        <f>H15</f>
        <v>1480</v>
      </c>
      <c r="W15" s="277">
        <f>(V15+S15)/12</f>
        <v>444</v>
      </c>
      <c r="X15" s="277"/>
      <c r="Y15" s="277">
        <f>(R15*12+S15+T15+V15+W15+X15)/1000</f>
        <v>31.104666666666667</v>
      </c>
      <c r="Z15" s="277">
        <f>(Y15-U15/1000)*23%</f>
        <v>6.6377923333333335</v>
      </c>
      <c r="AA15" s="277">
        <f>Y15*4.5%</f>
        <v>1.39971</v>
      </c>
      <c r="AB15" s="277">
        <f>Y15+Z15+AA15</f>
        <v>39.142168999999996</v>
      </c>
    </row>
    <row r="16" spans="1:51" x14ac:dyDescent="0.2">
      <c r="A16" s="18">
        <v>2</v>
      </c>
      <c r="B16" s="18" t="s">
        <v>319</v>
      </c>
      <c r="C16" s="18"/>
      <c r="D16" s="18"/>
      <c r="E16" s="158"/>
      <c r="F16" s="158">
        <f>D16*E16</f>
        <v>0</v>
      </c>
      <c r="G16" s="158"/>
      <c r="H16" s="158">
        <f>F16</f>
        <v>0</v>
      </c>
      <c r="I16" s="151"/>
      <c r="J16" s="272">
        <f t="shared" ref="J16:J23" si="1">H16*I16</f>
        <v>0</v>
      </c>
      <c r="K16" s="264"/>
      <c r="L16" s="158"/>
      <c r="M16" s="158"/>
      <c r="N16" s="158"/>
      <c r="O16" s="272">
        <f t="shared" ref="O16:O17" si="2">H16*20%</f>
        <v>0</v>
      </c>
      <c r="P16" s="151"/>
      <c r="Q16" s="158"/>
      <c r="R16" s="277">
        <f t="shared" ref="R16:R17" si="3">H16+J16+M16+N16+O16+Q16+L16</f>
        <v>0</v>
      </c>
      <c r="S16" s="278">
        <f t="shared" ref="S16:S23" si="4">R16*2</f>
        <v>0</v>
      </c>
      <c r="T16" s="277">
        <f t="shared" ref="T16:T23" si="5">R16+S16/12</f>
        <v>0</v>
      </c>
      <c r="U16" s="279">
        <f t="shared" ref="U16:U23" si="6">ROUND((IF(T16&gt;6650*D16,6650*D16,T16)),1)</f>
        <v>0</v>
      </c>
      <c r="V16" s="277">
        <f t="shared" ref="V16:V23" si="7">H16</f>
        <v>0</v>
      </c>
      <c r="W16" s="277">
        <f t="shared" ref="W16:W23" si="8">(V16+S16)/12</f>
        <v>0</v>
      </c>
      <c r="X16" s="200"/>
      <c r="Y16" s="277">
        <f t="shared" ref="Y16:Y23" si="9">(R16*12+S16+T16+V16+W16+X16)/1000</f>
        <v>0</v>
      </c>
      <c r="Z16" s="277">
        <f t="shared" ref="Z16:Z23" si="10">(Y16-U16/1000)*23%</f>
        <v>0</v>
      </c>
      <c r="AA16" s="277">
        <f t="shared" ref="AA16:AA23" si="11">Y16*4.5%</f>
        <v>0</v>
      </c>
      <c r="AB16" s="277">
        <f t="shared" ref="AB16:AB23" si="12">Y16+Z16+AA16</f>
        <v>0</v>
      </c>
    </row>
    <row r="17" spans="1:58" ht="14.45" customHeight="1" x14ac:dyDescent="0.2">
      <c r="A17" s="18">
        <v>3</v>
      </c>
      <c r="B17" s="18" t="s">
        <v>319</v>
      </c>
      <c r="C17" s="18"/>
      <c r="D17" s="18"/>
      <c r="E17" s="158"/>
      <c r="F17" s="158">
        <f>D17*E17</f>
        <v>0</v>
      </c>
      <c r="G17" s="158"/>
      <c r="H17" s="158">
        <f>F17</f>
        <v>0</v>
      </c>
      <c r="I17" s="151"/>
      <c r="J17" s="272">
        <f t="shared" si="1"/>
        <v>0</v>
      </c>
      <c r="K17" s="264"/>
      <c r="L17" s="158"/>
      <c r="M17" s="158"/>
      <c r="N17" s="158"/>
      <c r="O17" s="272">
        <f t="shared" si="2"/>
        <v>0</v>
      </c>
      <c r="P17" s="151"/>
      <c r="Q17" s="158"/>
      <c r="R17" s="277">
        <f t="shared" si="3"/>
        <v>0</v>
      </c>
      <c r="S17" s="278">
        <f t="shared" si="4"/>
        <v>0</v>
      </c>
      <c r="T17" s="277">
        <f t="shared" si="5"/>
        <v>0</v>
      </c>
      <c r="U17" s="279">
        <f t="shared" si="6"/>
        <v>0</v>
      </c>
      <c r="V17" s="277">
        <f t="shared" si="7"/>
        <v>0</v>
      </c>
      <c r="W17" s="277">
        <f t="shared" si="8"/>
        <v>0</v>
      </c>
      <c r="X17" s="200"/>
      <c r="Y17" s="277">
        <f t="shared" si="9"/>
        <v>0</v>
      </c>
      <c r="Z17" s="277">
        <f t="shared" si="10"/>
        <v>0</v>
      </c>
      <c r="AA17" s="277">
        <f t="shared" si="11"/>
        <v>0</v>
      </c>
      <c r="AB17" s="277">
        <f t="shared" si="12"/>
        <v>0</v>
      </c>
    </row>
    <row r="18" spans="1:58" s="87" customFormat="1" ht="25.5" x14ac:dyDescent="0.2">
      <c r="A18" s="84"/>
      <c r="B18" s="88" t="s">
        <v>320</v>
      </c>
      <c r="C18" s="105"/>
      <c r="D18" s="105">
        <f t="shared" ref="D18:AA18" si="13">SUM(D19:D23)</f>
        <v>0</v>
      </c>
      <c r="E18" s="275">
        <f t="shared" si="13"/>
        <v>0</v>
      </c>
      <c r="F18" s="275">
        <f t="shared" si="13"/>
        <v>0</v>
      </c>
      <c r="G18" s="275">
        <f t="shared" si="13"/>
        <v>0</v>
      </c>
      <c r="H18" s="275">
        <f t="shared" si="13"/>
        <v>0</v>
      </c>
      <c r="I18" s="275">
        <f t="shared" si="13"/>
        <v>0</v>
      </c>
      <c r="J18" s="275">
        <f t="shared" si="13"/>
        <v>0</v>
      </c>
      <c r="K18" s="275">
        <f t="shared" si="13"/>
        <v>0</v>
      </c>
      <c r="L18" s="275">
        <f t="shared" si="13"/>
        <v>0</v>
      </c>
      <c r="M18" s="275">
        <f t="shared" si="13"/>
        <v>0</v>
      </c>
      <c r="N18" s="275">
        <f t="shared" si="13"/>
        <v>0</v>
      </c>
      <c r="O18" s="275">
        <f t="shared" si="13"/>
        <v>0</v>
      </c>
      <c r="P18" s="275">
        <f t="shared" si="13"/>
        <v>0</v>
      </c>
      <c r="Q18" s="275">
        <f t="shared" si="13"/>
        <v>0</v>
      </c>
      <c r="R18" s="280">
        <f t="shared" si="13"/>
        <v>0</v>
      </c>
      <c r="S18" s="280">
        <f t="shared" si="13"/>
        <v>0</v>
      </c>
      <c r="T18" s="280">
        <f t="shared" si="13"/>
        <v>0</v>
      </c>
      <c r="U18" s="280">
        <f t="shared" si="13"/>
        <v>0</v>
      </c>
      <c r="V18" s="280">
        <f t="shared" si="13"/>
        <v>0</v>
      </c>
      <c r="W18" s="280">
        <f t="shared" si="13"/>
        <v>0</v>
      </c>
      <c r="X18" s="280">
        <f t="shared" si="13"/>
        <v>0</v>
      </c>
      <c r="Y18" s="280">
        <f t="shared" si="13"/>
        <v>0</v>
      </c>
      <c r="Z18" s="280">
        <f t="shared" si="13"/>
        <v>0</v>
      </c>
      <c r="AA18" s="280">
        <f t="shared" si="13"/>
        <v>0</v>
      </c>
      <c r="AB18" s="280">
        <f>SUM(AB19:AB23)</f>
        <v>0</v>
      </c>
    </row>
    <row r="19" spans="1:58" ht="14.45" customHeight="1" x14ac:dyDescent="0.2">
      <c r="A19" s="18">
        <v>1</v>
      </c>
      <c r="B19" s="18" t="s">
        <v>319</v>
      </c>
      <c r="C19" s="18"/>
      <c r="D19" s="18"/>
      <c r="E19" s="158"/>
      <c r="F19" s="158">
        <f>D19*E19</f>
        <v>0</v>
      </c>
      <c r="G19" s="158"/>
      <c r="H19" s="158">
        <f>F19*G19</f>
        <v>0</v>
      </c>
      <c r="I19" s="151"/>
      <c r="J19" s="272">
        <f t="shared" si="1"/>
        <v>0</v>
      </c>
      <c r="K19" s="264"/>
      <c r="L19" s="158"/>
      <c r="M19" s="158"/>
      <c r="N19" s="158"/>
      <c r="O19" s="158" t="s">
        <v>396</v>
      </c>
      <c r="P19" s="151"/>
      <c r="Q19" s="158"/>
      <c r="R19" s="277">
        <f>H19+J19+M19+N19+Q19+L19</f>
        <v>0</v>
      </c>
      <c r="S19" s="278">
        <f t="shared" si="4"/>
        <v>0</v>
      </c>
      <c r="T19" s="277">
        <f t="shared" si="5"/>
        <v>0</v>
      </c>
      <c r="U19" s="279">
        <f t="shared" si="6"/>
        <v>0</v>
      </c>
      <c r="V19" s="277">
        <f t="shared" si="7"/>
        <v>0</v>
      </c>
      <c r="W19" s="277">
        <f t="shared" si="8"/>
        <v>0</v>
      </c>
      <c r="X19" s="200"/>
      <c r="Y19" s="277">
        <f t="shared" si="9"/>
        <v>0</v>
      </c>
      <c r="Z19" s="277">
        <f t="shared" si="10"/>
        <v>0</v>
      </c>
      <c r="AA19" s="277">
        <f t="shared" si="11"/>
        <v>0</v>
      </c>
      <c r="AB19" s="277">
        <f t="shared" si="12"/>
        <v>0</v>
      </c>
    </row>
    <row r="20" spans="1:58" ht="14.45" customHeight="1" x14ac:dyDescent="0.2">
      <c r="A20" s="18">
        <v>2</v>
      </c>
      <c r="B20" s="18" t="s">
        <v>319</v>
      </c>
      <c r="C20" s="18"/>
      <c r="D20" s="18"/>
      <c r="E20" s="158"/>
      <c r="F20" s="158"/>
      <c r="G20" s="158"/>
      <c r="H20" s="158">
        <f t="shared" ref="H20:H23" si="14">F20*G20</f>
        <v>0</v>
      </c>
      <c r="I20" s="151"/>
      <c r="J20" s="272">
        <f t="shared" si="1"/>
        <v>0</v>
      </c>
      <c r="K20" s="264"/>
      <c r="L20" s="158"/>
      <c r="M20" s="158"/>
      <c r="N20" s="158"/>
      <c r="O20" s="158" t="s">
        <v>396</v>
      </c>
      <c r="P20" s="151"/>
      <c r="Q20" s="158"/>
      <c r="R20" s="277">
        <f t="shared" ref="R20:R23" si="15">H20+J20+M20+N20+Q20+L20</f>
        <v>0</v>
      </c>
      <c r="S20" s="278">
        <f t="shared" si="4"/>
        <v>0</v>
      </c>
      <c r="T20" s="277">
        <f t="shared" si="5"/>
        <v>0</v>
      </c>
      <c r="U20" s="279">
        <f t="shared" si="6"/>
        <v>0</v>
      </c>
      <c r="V20" s="277">
        <f t="shared" si="7"/>
        <v>0</v>
      </c>
      <c r="W20" s="277">
        <f t="shared" si="8"/>
        <v>0</v>
      </c>
      <c r="X20" s="200"/>
      <c r="Y20" s="277">
        <f t="shared" si="9"/>
        <v>0</v>
      </c>
      <c r="Z20" s="277">
        <f t="shared" si="10"/>
        <v>0</v>
      </c>
      <c r="AA20" s="277">
        <f t="shared" si="11"/>
        <v>0</v>
      </c>
      <c r="AB20" s="277">
        <f t="shared" si="12"/>
        <v>0</v>
      </c>
    </row>
    <row r="21" spans="1:58" x14ac:dyDescent="0.2">
      <c r="A21" s="18">
        <v>3</v>
      </c>
      <c r="B21" s="18" t="s">
        <v>319</v>
      </c>
      <c r="C21" s="18"/>
      <c r="D21" s="18"/>
      <c r="E21" s="158"/>
      <c r="F21" s="158"/>
      <c r="G21" s="158"/>
      <c r="H21" s="158">
        <f t="shared" si="14"/>
        <v>0</v>
      </c>
      <c r="I21" s="151"/>
      <c r="J21" s="272">
        <f t="shared" si="1"/>
        <v>0</v>
      </c>
      <c r="K21" s="264"/>
      <c r="L21" s="158"/>
      <c r="M21" s="158"/>
      <c r="N21" s="158"/>
      <c r="O21" s="158" t="s">
        <v>396</v>
      </c>
      <c r="P21" s="151"/>
      <c r="Q21" s="158"/>
      <c r="R21" s="277">
        <f t="shared" si="15"/>
        <v>0</v>
      </c>
      <c r="S21" s="278">
        <f t="shared" si="4"/>
        <v>0</v>
      </c>
      <c r="T21" s="277">
        <f t="shared" si="5"/>
        <v>0</v>
      </c>
      <c r="U21" s="279">
        <f t="shared" si="6"/>
        <v>0</v>
      </c>
      <c r="V21" s="277">
        <f t="shared" si="7"/>
        <v>0</v>
      </c>
      <c r="W21" s="277">
        <f t="shared" si="8"/>
        <v>0</v>
      </c>
      <c r="X21" s="200"/>
      <c r="Y21" s="277">
        <f t="shared" si="9"/>
        <v>0</v>
      </c>
      <c r="Z21" s="277">
        <f t="shared" si="10"/>
        <v>0</v>
      </c>
      <c r="AA21" s="277">
        <f t="shared" si="11"/>
        <v>0</v>
      </c>
      <c r="AB21" s="277">
        <f t="shared" si="12"/>
        <v>0</v>
      </c>
    </row>
    <row r="22" spans="1:58" x14ac:dyDescent="0.2">
      <c r="A22" s="18"/>
      <c r="B22" s="18"/>
      <c r="C22" s="18"/>
      <c r="D22" s="18"/>
      <c r="E22" s="158"/>
      <c r="F22" s="158"/>
      <c r="G22" s="158"/>
      <c r="H22" s="158">
        <f t="shared" si="14"/>
        <v>0</v>
      </c>
      <c r="I22" s="151"/>
      <c r="J22" s="272">
        <f t="shared" si="1"/>
        <v>0</v>
      </c>
      <c r="K22" s="264"/>
      <c r="L22" s="158"/>
      <c r="M22" s="158"/>
      <c r="N22" s="158"/>
      <c r="O22" s="158" t="s">
        <v>396</v>
      </c>
      <c r="P22" s="151"/>
      <c r="Q22" s="158"/>
      <c r="R22" s="277">
        <f t="shared" si="15"/>
        <v>0</v>
      </c>
      <c r="S22" s="278">
        <f t="shared" si="4"/>
        <v>0</v>
      </c>
      <c r="T22" s="277">
        <f t="shared" si="5"/>
        <v>0</v>
      </c>
      <c r="U22" s="279">
        <f t="shared" si="6"/>
        <v>0</v>
      </c>
      <c r="V22" s="277">
        <f t="shared" si="7"/>
        <v>0</v>
      </c>
      <c r="W22" s="277">
        <f t="shared" si="8"/>
        <v>0</v>
      </c>
      <c r="X22" s="268"/>
      <c r="Y22" s="277">
        <f t="shared" si="9"/>
        <v>0</v>
      </c>
      <c r="Z22" s="277">
        <f t="shared" si="10"/>
        <v>0</v>
      </c>
      <c r="AA22" s="277">
        <f t="shared" si="11"/>
        <v>0</v>
      </c>
      <c r="AB22" s="277">
        <f t="shared" si="12"/>
        <v>0</v>
      </c>
    </row>
    <row r="23" spans="1:58" x14ac:dyDescent="0.2">
      <c r="A23" s="18"/>
      <c r="B23" s="18"/>
      <c r="C23" s="18"/>
      <c r="D23" s="18"/>
      <c r="E23" s="158"/>
      <c r="F23" s="158"/>
      <c r="G23" s="158"/>
      <c r="H23" s="158">
        <f t="shared" si="14"/>
        <v>0</v>
      </c>
      <c r="I23" s="151"/>
      <c r="J23" s="272">
        <f t="shared" si="1"/>
        <v>0</v>
      </c>
      <c r="K23" s="264"/>
      <c r="L23" s="158"/>
      <c r="M23" s="158"/>
      <c r="N23" s="158"/>
      <c r="O23" s="158" t="s">
        <v>396</v>
      </c>
      <c r="P23" s="276"/>
      <c r="Q23" s="158"/>
      <c r="R23" s="277">
        <f t="shared" si="15"/>
        <v>0</v>
      </c>
      <c r="S23" s="278">
        <f t="shared" si="4"/>
        <v>0</v>
      </c>
      <c r="T23" s="277">
        <f t="shared" si="5"/>
        <v>0</v>
      </c>
      <c r="U23" s="279">
        <f t="shared" si="6"/>
        <v>0</v>
      </c>
      <c r="V23" s="277">
        <f t="shared" si="7"/>
        <v>0</v>
      </c>
      <c r="W23" s="277">
        <f t="shared" si="8"/>
        <v>0</v>
      </c>
      <c r="X23" s="200"/>
      <c r="Y23" s="277">
        <f t="shared" si="9"/>
        <v>0</v>
      </c>
      <c r="Z23" s="277">
        <f t="shared" si="10"/>
        <v>0</v>
      </c>
      <c r="AA23" s="277">
        <f t="shared" si="11"/>
        <v>0</v>
      </c>
      <c r="AB23" s="277">
        <f t="shared" si="12"/>
        <v>0</v>
      </c>
    </row>
    <row r="24" spans="1:58" ht="14.25" customHeight="1" x14ac:dyDescent="0.2">
      <c r="A24" s="291" t="s">
        <v>397</v>
      </c>
      <c r="B24" s="292"/>
      <c r="C24" s="292"/>
      <c r="D24" s="292"/>
      <c r="E24" s="292"/>
      <c r="F24" s="292"/>
      <c r="G24" s="292"/>
      <c r="H24" s="292"/>
      <c r="I24" s="292"/>
      <c r="J24" s="292"/>
      <c r="K24" s="292"/>
      <c r="L24" s="292"/>
      <c r="M24" s="292"/>
      <c r="N24" s="292"/>
      <c r="O24" s="292"/>
      <c r="P24" s="292"/>
      <c r="Q24" s="292"/>
      <c r="R24" s="292"/>
      <c r="S24" s="292"/>
      <c r="T24" s="292"/>
      <c r="U24" s="292"/>
      <c r="V24" s="292"/>
      <c r="W24" s="292"/>
      <c r="X24" s="108"/>
      <c r="Y24" s="20"/>
      <c r="Z24" s="108"/>
      <c r="AA24" s="20"/>
      <c r="AB24" s="20"/>
      <c r="AC24" s="109"/>
      <c r="AD24" s="108"/>
      <c r="AE24" s="20"/>
      <c r="AF24" s="106"/>
      <c r="AG24" s="20"/>
      <c r="AH24" s="110"/>
      <c r="AI24" s="111"/>
      <c r="AJ24" s="20"/>
      <c r="AK24" s="106"/>
      <c r="AL24" s="20"/>
      <c r="AM24" s="112"/>
      <c r="AN24" s="113"/>
      <c r="AO24" s="20"/>
      <c r="AP24" s="114"/>
      <c r="AQ24" s="20"/>
      <c r="AR24" s="112"/>
      <c r="AS24" s="90"/>
      <c r="AT24" s="20"/>
      <c r="AU24" s="20"/>
      <c r="AV24" s="20"/>
      <c r="AW24" s="20"/>
    </row>
    <row r="25" spans="1:58" ht="14.25" customHeight="1" x14ac:dyDescent="0.2">
      <c r="A25" s="284" t="s">
        <v>398</v>
      </c>
      <c r="B25" s="284"/>
      <c r="C25" s="284"/>
      <c r="D25" s="284"/>
      <c r="E25" s="284"/>
      <c r="F25" s="284"/>
      <c r="G25" s="284"/>
      <c r="H25" s="284"/>
      <c r="I25" s="284"/>
      <c r="J25" s="284"/>
      <c r="K25" s="284"/>
      <c r="L25" s="284"/>
      <c r="M25" s="284"/>
      <c r="N25" s="284"/>
      <c r="O25" s="284"/>
      <c r="P25" s="284"/>
      <c r="Q25" s="284"/>
      <c r="R25" s="284"/>
      <c r="S25" s="284"/>
      <c r="T25" s="284"/>
      <c r="U25" s="284"/>
      <c r="V25" s="284"/>
      <c r="W25" s="284"/>
      <c r="X25" s="108"/>
      <c r="Y25" s="20"/>
      <c r="Z25" s="108"/>
      <c r="AA25" s="20"/>
      <c r="AB25" s="20"/>
      <c r="AC25" s="109"/>
      <c r="AD25" s="108"/>
      <c r="AE25" s="20"/>
      <c r="AF25" s="106"/>
      <c r="AG25" s="20"/>
      <c r="AH25" s="110"/>
      <c r="AI25" s="111"/>
      <c r="AJ25" s="20"/>
      <c r="AK25" s="106"/>
      <c r="AL25" s="20"/>
      <c r="AM25" s="112"/>
      <c r="AN25" s="113"/>
      <c r="AO25" s="20"/>
      <c r="AP25" s="114"/>
      <c r="AQ25" s="20"/>
      <c r="AR25" s="112"/>
      <c r="AS25" s="90"/>
      <c r="AT25" s="20"/>
      <c r="AU25" s="20"/>
      <c r="AV25" s="20"/>
      <c r="AW25" s="20"/>
    </row>
    <row r="26" spans="1:58" s="8" customFormat="1" ht="15.75" customHeight="1" x14ac:dyDescent="0.25">
      <c r="A26" s="47" t="s">
        <v>165</v>
      </c>
      <c r="B26" s="48"/>
      <c r="C26" s="48"/>
      <c r="D26" s="48"/>
      <c r="E26" s="48"/>
      <c r="F26" s="48"/>
      <c r="G26" s="48"/>
      <c r="H26" s="18"/>
      <c r="I26" s="48"/>
      <c r="J26" s="48"/>
      <c r="K26" s="48"/>
      <c r="L26" s="48"/>
      <c r="M26" s="48"/>
      <c r="N26" s="48"/>
      <c r="O26" s="48"/>
      <c r="P26" s="48"/>
      <c r="Q26" s="48"/>
      <c r="R26" s="48"/>
      <c r="S26" s="48"/>
      <c r="T26" s="48"/>
      <c r="U26" s="48"/>
      <c r="V26" s="49"/>
      <c r="W26" s="49"/>
      <c r="X26" s="49"/>
      <c r="Y26" s="49"/>
      <c r="Z26" s="49"/>
      <c r="AA26" s="49"/>
      <c r="AB26" s="91"/>
      <c r="AC26" s="20"/>
      <c r="AD26" s="20"/>
      <c r="AE26" s="20"/>
      <c r="AF26" s="20"/>
      <c r="AG26" s="20"/>
      <c r="AH26" s="20"/>
      <c r="AI26" s="20"/>
      <c r="AJ26" s="20"/>
      <c r="AK26" s="20"/>
      <c r="AL26" s="20"/>
      <c r="AM26" s="20"/>
      <c r="AN26" s="20"/>
      <c r="AO26" s="20"/>
      <c r="AP26" s="21"/>
      <c r="AQ26" s="21"/>
      <c r="AR26" s="21"/>
      <c r="AS26" s="21"/>
      <c r="AT26" s="19"/>
      <c r="AU26" s="20"/>
      <c r="AV26" s="20"/>
      <c r="AW26" s="36"/>
      <c r="AX26" s="36"/>
      <c r="AY26" s="36"/>
      <c r="AZ26" s="36"/>
      <c r="BA26" s="21"/>
      <c r="BB26" s="37"/>
      <c r="BC26" s="20"/>
      <c r="BD26" s="20"/>
      <c r="BE26" s="20"/>
      <c r="BF26" s="20"/>
    </row>
    <row r="27" spans="1:58" s="20" customFormat="1" ht="16.5" customHeight="1" x14ac:dyDescent="0.2">
      <c r="A27" s="285" t="s">
        <v>399</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69"/>
      <c r="AA27" s="69"/>
      <c r="AB27" s="69"/>
      <c r="AC27" s="69"/>
      <c r="AD27" s="69"/>
      <c r="AE27" s="69"/>
      <c r="AF27" s="69"/>
      <c r="AG27" s="19"/>
      <c r="AH27" s="19"/>
      <c r="AI27" s="19"/>
      <c r="AJ27" s="19"/>
      <c r="AK27" s="19"/>
      <c r="AL27" s="19"/>
      <c r="AM27" s="19"/>
      <c r="AQ27" s="38"/>
      <c r="AS27" s="22"/>
      <c r="AT27" s="23"/>
      <c r="AU27" s="23"/>
      <c r="AV27" s="23"/>
      <c r="AW27" s="23"/>
      <c r="AX27" s="19"/>
      <c r="AY27" s="19"/>
      <c r="AZ27" s="19"/>
      <c r="BA27" s="19"/>
      <c r="BB27" s="19"/>
      <c r="BC27" s="19"/>
      <c r="BD27" s="19"/>
      <c r="BE27" s="19"/>
      <c r="BF27" s="19"/>
    </row>
    <row r="28" spans="1:58" s="20" customFormat="1" ht="6.75" customHeight="1" x14ac:dyDescent="0.2">
      <c r="A28" s="286" t="s">
        <v>400</v>
      </c>
      <c r="B28" s="286"/>
      <c r="C28" s="286"/>
      <c r="D28" s="286"/>
      <c r="E28" s="286"/>
      <c r="F28" s="286"/>
      <c r="G28" s="286"/>
      <c r="H28" s="286"/>
      <c r="I28" s="286"/>
      <c r="J28" s="286"/>
      <c r="K28" s="286"/>
      <c r="L28" s="286"/>
      <c r="M28" s="286"/>
      <c r="N28" s="286"/>
      <c r="O28" s="286"/>
      <c r="P28" s="286"/>
      <c r="Q28" s="286"/>
      <c r="R28" s="286"/>
      <c r="S28" s="286"/>
      <c r="T28" s="286"/>
      <c r="U28" s="286"/>
      <c r="V28" s="286"/>
      <c r="W28" s="286"/>
      <c r="X28" s="286"/>
      <c r="Y28" s="286"/>
      <c r="Z28" s="69"/>
      <c r="AA28" s="69"/>
      <c r="AB28" s="69"/>
      <c r="AC28" s="69"/>
      <c r="AD28" s="69"/>
      <c r="AE28" s="69"/>
      <c r="AF28" s="69"/>
      <c r="AG28" s="19"/>
      <c r="AH28" s="19"/>
      <c r="AI28" s="19"/>
      <c r="AJ28" s="19"/>
      <c r="AK28" s="19"/>
      <c r="AL28" s="19"/>
      <c r="AM28" s="19"/>
      <c r="AQ28" s="38"/>
      <c r="AS28" s="22"/>
      <c r="AT28" s="23"/>
      <c r="AU28" s="23"/>
      <c r="AV28" s="23"/>
      <c r="AW28" s="23"/>
      <c r="AX28" s="19"/>
      <c r="AY28" s="19"/>
      <c r="AZ28" s="19"/>
      <c r="BA28" s="19"/>
      <c r="BB28" s="19"/>
      <c r="BC28" s="19"/>
      <c r="BD28" s="19"/>
      <c r="BE28" s="19"/>
      <c r="BF28" s="19"/>
    </row>
    <row r="29" spans="1:58" ht="12.75" customHeight="1" x14ac:dyDescent="0.2">
      <c r="A29" s="286"/>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86"/>
      <c r="Z29" s="20"/>
      <c r="AA29" s="20"/>
      <c r="AB29" s="20"/>
      <c r="AC29" s="20"/>
      <c r="AD29" s="20"/>
      <c r="AE29" s="20"/>
    </row>
    <row r="30" spans="1:58" ht="27" customHeight="1" x14ac:dyDescent="0.2">
      <c r="A30" s="286" t="s">
        <v>401</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86"/>
      <c r="Z30" s="20"/>
      <c r="AA30" s="20"/>
      <c r="AB30" s="20"/>
      <c r="AC30" s="20"/>
      <c r="AD30" s="20"/>
      <c r="AE30" s="20"/>
    </row>
    <row r="31" spans="1:58" ht="12.75" customHeight="1" x14ac:dyDescent="0.2">
      <c r="A31" s="73"/>
      <c r="B31" s="73"/>
      <c r="C31" s="73"/>
      <c r="D31" s="73"/>
      <c r="E31" s="73"/>
      <c r="F31" s="73"/>
      <c r="G31" s="73"/>
      <c r="H31" s="73"/>
      <c r="I31" s="73"/>
      <c r="J31" s="73"/>
      <c r="K31" s="73"/>
      <c r="L31" s="73"/>
      <c r="M31" s="73"/>
      <c r="N31" s="73"/>
      <c r="O31" s="73"/>
      <c r="P31" s="73"/>
      <c r="Q31" s="73"/>
      <c r="R31" s="73"/>
      <c r="S31" s="73"/>
      <c r="T31" s="73"/>
      <c r="U31" s="73"/>
      <c r="V31" s="73"/>
      <c r="W31" s="73"/>
      <c r="X31" s="73"/>
      <c r="Y31" s="73"/>
      <c r="Z31" s="20"/>
      <c r="AA31" s="20"/>
      <c r="AB31" s="20"/>
      <c r="AC31" s="20"/>
      <c r="AD31" s="20"/>
      <c r="AE31" s="20"/>
    </row>
    <row r="32" spans="1:58" s="181" customFormat="1" ht="17.25" customHeight="1" x14ac:dyDescent="0.25">
      <c r="A32" s="298" t="s">
        <v>542</v>
      </c>
      <c r="B32" s="298"/>
      <c r="C32" s="298"/>
      <c r="D32" s="298"/>
      <c r="E32" s="298"/>
      <c r="F32" s="298"/>
      <c r="G32" s="304"/>
      <c r="H32" s="304"/>
      <c r="I32" s="304"/>
      <c r="J32" s="304"/>
      <c r="K32" s="180"/>
      <c r="L32" s="299"/>
      <c r="M32" s="299"/>
      <c r="N32" s="299"/>
      <c r="R32" s="179"/>
      <c r="S32" s="179"/>
      <c r="T32" s="179"/>
      <c r="U32" s="179"/>
      <c r="V32" s="179"/>
      <c r="W32" s="179"/>
      <c r="X32" s="179"/>
    </row>
    <row r="33" spans="1:53" s="181" customFormat="1" ht="16.899999999999999" customHeight="1" x14ac:dyDescent="0.25">
      <c r="A33" s="179"/>
      <c r="B33" s="179"/>
      <c r="C33" s="179"/>
      <c r="D33" s="179"/>
      <c r="E33" s="179"/>
      <c r="F33" s="179"/>
      <c r="G33" s="301" t="s">
        <v>538</v>
      </c>
      <c r="H33" s="301"/>
      <c r="I33" s="301"/>
      <c r="J33" s="301"/>
      <c r="K33" s="179"/>
      <c r="L33" s="301" t="s">
        <v>539</v>
      </c>
      <c r="M33" s="301"/>
      <c r="N33" s="301"/>
      <c r="R33" s="179"/>
      <c r="S33" s="179"/>
      <c r="T33" s="179"/>
      <c r="U33" s="179"/>
      <c r="V33" s="179"/>
      <c r="W33" s="179"/>
      <c r="X33" s="179"/>
    </row>
    <row r="34" spans="1:53" customFormat="1" ht="18.75" customHeight="1" x14ac:dyDescent="0.25">
      <c r="A34" s="298" t="s">
        <v>540</v>
      </c>
      <c r="B34" s="298"/>
      <c r="C34" s="298"/>
      <c r="D34" s="298"/>
      <c r="E34" s="298"/>
      <c r="F34" s="298"/>
      <c r="G34" s="299"/>
      <c r="H34" s="299"/>
      <c r="I34" s="299"/>
      <c r="J34" s="299"/>
      <c r="K34" s="182"/>
      <c r="L34" s="299"/>
      <c r="M34" s="299"/>
      <c r="N34" s="299"/>
      <c r="O34" s="299"/>
      <c r="P34" s="183"/>
      <c r="Q34" s="300"/>
      <c r="R34" s="300"/>
      <c r="S34" s="300"/>
      <c r="T34" s="300"/>
      <c r="U34" s="178"/>
      <c r="V34" s="178"/>
      <c r="W34" s="178"/>
      <c r="X34" s="178"/>
      <c r="Y34" s="178"/>
      <c r="Z34" s="178"/>
    </row>
    <row r="35" spans="1:53" customFormat="1" ht="15" customHeight="1" x14ac:dyDescent="0.25">
      <c r="A35" s="184"/>
      <c r="B35" s="184"/>
      <c r="C35" s="184"/>
      <c r="D35" s="184"/>
      <c r="E35" s="78"/>
      <c r="F35" s="78"/>
      <c r="G35" s="301" t="s">
        <v>538</v>
      </c>
      <c r="H35" s="301"/>
      <c r="I35" s="301"/>
      <c r="J35" s="301"/>
      <c r="K35" s="185"/>
      <c r="L35" s="302" t="s">
        <v>304</v>
      </c>
      <c r="M35" s="302"/>
      <c r="N35" s="302"/>
      <c r="O35" s="302"/>
      <c r="P35" s="138"/>
      <c r="Q35" s="303" t="s">
        <v>541</v>
      </c>
      <c r="R35" s="303"/>
      <c r="S35" s="303"/>
      <c r="T35" s="303"/>
      <c r="U35" s="178"/>
      <c r="V35" s="178"/>
      <c r="W35" s="178"/>
      <c r="X35" s="178"/>
      <c r="Y35" s="178"/>
      <c r="Z35" s="178"/>
    </row>
    <row r="36" spans="1:53" s="8" customFormat="1" ht="15" x14ac:dyDescent="0.25">
      <c r="A36" s="20"/>
      <c r="B36" s="20"/>
      <c r="C36" s="20"/>
      <c r="D36" s="39"/>
      <c r="E36" s="40"/>
      <c r="F36" s="40"/>
      <c r="G36" s="40"/>
      <c r="H36" s="40"/>
      <c r="I36" s="40"/>
      <c r="J36" s="40"/>
      <c r="K36" s="40"/>
      <c r="L36" s="40"/>
      <c r="M36" s="40"/>
      <c r="N36" s="40"/>
      <c r="O36" s="40"/>
      <c r="P36" s="40"/>
      <c r="Q36" s="40"/>
      <c r="R36" s="40"/>
      <c r="S36" s="40"/>
      <c r="T36" s="40"/>
      <c r="U36" s="20"/>
      <c r="V36" s="20"/>
      <c r="W36" s="20"/>
      <c r="X36" s="20"/>
      <c r="Y36" s="20"/>
      <c r="Z36" s="20"/>
      <c r="AA36" s="20"/>
      <c r="AB36" s="20"/>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row>
  </sheetData>
  <mergeCells count="52">
    <mergeCell ref="AA7:AA12"/>
    <mergeCell ref="AB7:AB12"/>
    <mergeCell ref="E10:E12"/>
    <mergeCell ref="F10:F12"/>
    <mergeCell ref="K11:K12"/>
    <mergeCell ref="L11:L12"/>
    <mergeCell ref="W7:W12"/>
    <mergeCell ref="O7:O12"/>
    <mergeCell ref="V7:V12"/>
    <mergeCell ref="Y7:Y12"/>
    <mergeCell ref="X7:X12"/>
    <mergeCell ref="P7:Q11"/>
    <mergeCell ref="R7:R12"/>
    <mergeCell ref="S7:S12"/>
    <mergeCell ref="T7:U7"/>
    <mergeCell ref="A1:AB1"/>
    <mergeCell ref="A2:AB2"/>
    <mergeCell ref="G7:G12"/>
    <mergeCell ref="H7:H12"/>
    <mergeCell ref="I7:J11"/>
    <mergeCell ref="A7:A12"/>
    <mergeCell ref="B7:B12"/>
    <mergeCell ref="C7:C12"/>
    <mergeCell ref="D7:D12"/>
    <mergeCell ref="E7:F9"/>
    <mergeCell ref="N7:N12"/>
    <mergeCell ref="K7:L10"/>
    <mergeCell ref="M7:M12"/>
    <mergeCell ref="T8:T12"/>
    <mergeCell ref="Z7:Z12"/>
    <mergeCell ref="U8:U12"/>
    <mergeCell ref="B4:C5"/>
    <mergeCell ref="E4:I4"/>
    <mergeCell ref="K4:K5"/>
    <mergeCell ref="E5:I5"/>
    <mergeCell ref="A27:Y27"/>
    <mergeCell ref="A28:Y29"/>
    <mergeCell ref="A30:Y30"/>
    <mergeCell ref="A24:W24"/>
    <mergeCell ref="A25:W25"/>
    <mergeCell ref="G35:J35"/>
    <mergeCell ref="L35:O35"/>
    <mergeCell ref="Q35:T35"/>
    <mergeCell ref="A34:F34"/>
    <mergeCell ref="G34:J34"/>
    <mergeCell ref="L34:O34"/>
    <mergeCell ref="Q34:T34"/>
    <mergeCell ref="A32:F32"/>
    <mergeCell ref="G32:J32"/>
    <mergeCell ref="L32:N32"/>
    <mergeCell ref="G33:J33"/>
    <mergeCell ref="L33:N33"/>
  </mergeCells>
  <printOptions horizontalCentered="1"/>
  <pageMargins left="0.31496062992126" right="0.31496062992126" top="0.66929133858267698" bottom="0.66929133858267698" header="0.31496062992126" footer="0.31496062992126"/>
  <pageSetup paperSize="8" scale="70" fitToWidth="2" fitToHeight="80" orientation="landscape" r:id="rId1"/>
  <headerFooter>
    <oddHeader>&amp;R&amp;10Tabel nr.13</oddHeader>
    <oddFooter>&amp;R&amp;"-,полужирный"&amp;8&amp;P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BF33"/>
  <sheetViews>
    <sheetView showZeros="0" view="pageBreakPreview" zoomScale="80" zoomScaleNormal="71" zoomScaleSheetLayoutView="80" workbookViewId="0">
      <selection activeCell="AB28" sqref="AB28"/>
    </sheetView>
  </sheetViews>
  <sheetFormatPr defaultColWidth="8.85546875" defaultRowHeight="12.75" x14ac:dyDescent="0.2"/>
  <cols>
    <col min="1" max="1" width="5.28515625" style="21" customWidth="1"/>
    <col min="2" max="2" width="14" style="21" customWidth="1"/>
    <col min="3" max="3" width="4.85546875" style="21" customWidth="1"/>
    <col min="4" max="4" width="5.140625" style="21" customWidth="1"/>
    <col min="5" max="5" width="8.28515625" style="21" customWidth="1"/>
    <col min="6" max="6" width="9.5703125" style="21" customWidth="1"/>
    <col min="7" max="7" width="10.85546875" style="21" customWidth="1"/>
    <col min="8" max="8" width="9.42578125" style="21" customWidth="1"/>
    <col min="9" max="9" width="12.42578125" style="21" customWidth="1"/>
    <col min="10" max="10" width="9.140625" style="21" customWidth="1"/>
    <col min="11" max="11" width="9.7109375" style="21" customWidth="1"/>
    <col min="12" max="12" width="15.140625" style="21" customWidth="1"/>
    <col min="13" max="13" width="10.85546875" style="21" customWidth="1"/>
    <col min="14" max="14" width="16.42578125" style="21" customWidth="1"/>
    <col min="15" max="15" width="10.42578125" style="21" customWidth="1"/>
    <col min="16" max="16" width="12" style="21" customWidth="1"/>
    <col min="17" max="17" width="5.5703125" style="21" customWidth="1"/>
    <col min="18" max="18" width="7.28515625" style="21" customWidth="1"/>
    <col min="19" max="19" width="11.7109375" style="21" customWidth="1"/>
    <col min="20" max="20" width="15.28515625" style="21" customWidth="1"/>
    <col min="21" max="21" width="9.7109375" style="21" customWidth="1"/>
    <col min="22" max="22" width="12.28515625" style="21" customWidth="1"/>
    <col min="23" max="23" width="10.5703125" style="21" customWidth="1"/>
    <col min="24" max="25" width="12.28515625" style="21" customWidth="1"/>
    <col min="26" max="27" width="11.28515625" style="21" customWidth="1"/>
    <col min="28" max="28" width="11.42578125" style="21" customWidth="1"/>
    <col min="29" max="29" width="10.85546875" style="21" customWidth="1"/>
    <col min="30" max="16384" width="8.85546875" style="21"/>
  </cols>
  <sheetData>
    <row r="1" spans="1:52" s="25" customFormat="1" ht="22.15" customHeight="1" x14ac:dyDescent="0.25">
      <c r="A1" s="356" t="s">
        <v>402</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67"/>
      <c r="AE1" s="67"/>
      <c r="AF1" s="67"/>
      <c r="AG1" s="26"/>
      <c r="AH1" s="26"/>
      <c r="AI1" s="26"/>
      <c r="AJ1" s="26"/>
      <c r="AK1" s="26"/>
      <c r="AL1" s="26"/>
    </row>
    <row r="2" spans="1:52" x14ac:dyDescent="0.2">
      <c r="A2" s="357" t="s">
        <v>138</v>
      </c>
      <c r="B2" s="357"/>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c r="AC2" s="357"/>
      <c r="AD2" s="54"/>
      <c r="AE2" s="55"/>
      <c r="AF2" s="55"/>
      <c r="AG2" s="55"/>
      <c r="AH2" s="55"/>
      <c r="AI2" s="55"/>
      <c r="AJ2" s="20"/>
      <c r="AK2" s="20"/>
      <c r="AL2" s="20"/>
      <c r="AM2" s="20"/>
      <c r="AN2" s="20"/>
      <c r="AO2" s="20"/>
      <c r="AP2" s="20"/>
      <c r="AQ2" s="20"/>
      <c r="AR2" s="20"/>
      <c r="AS2" s="20"/>
      <c r="AT2" s="20"/>
      <c r="AU2" s="20"/>
      <c r="AV2" s="20"/>
      <c r="AW2" s="20"/>
      <c r="AX2" s="20"/>
      <c r="AY2" s="20"/>
      <c r="AZ2" s="20"/>
    </row>
    <row r="3" spans="1:52" x14ac:dyDescent="0.2">
      <c r="A3" s="101"/>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54"/>
      <c r="AE3" s="55"/>
      <c r="AF3" s="55"/>
      <c r="AG3" s="55"/>
      <c r="AH3" s="55"/>
      <c r="AI3" s="55"/>
      <c r="AJ3" s="20"/>
      <c r="AK3" s="20"/>
      <c r="AL3" s="20"/>
      <c r="AM3" s="20"/>
      <c r="AN3" s="20"/>
      <c r="AO3" s="20"/>
      <c r="AP3" s="20"/>
      <c r="AQ3" s="20"/>
      <c r="AR3" s="20"/>
      <c r="AS3" s="20"/>
      <c r="AT3" s="20"/>
      <c r="AU3" s="20"/>
      <c r="AV3" s="20"/>
      <c r="AW3" s="20"/>
      <c r="AX3" s="20"/>
      <c r="AY3" s="20"/>
      <c r="AZ3" s="20"/>
    </row>
    <row r="4" spans="1:52" ht="12.75" customHeight="1" x14ac:dyDescent="0.2">
      <c r="A4" s="101"/>
      <c r="B4" s="350" t="s">
        <v>307</v>
      </c>
      <c r="C4" s="350"/>
      <c r="D4" s="79"/>
      <c r="E4" s="289" t="s">
        <v>308</v>
      </c>
      <c r="F4" s="289"/>
      <c r="G4" s="289"/>
      <c r="H4" s="289"/>
      <c r="I4" s="289"/>
      <c r="J4" s="75"/>
      <c r="K4" s="296" t="s">
        <v>164</v>
      </c>
      <c r="L4" s="80" t="s">
        <v>309</v>
      </c>
      <c r="M4" s="80" t="s">
        <v>310</v>
      </c>
      <c r="N4" s="80" t="s">
        <v>311</v>
      </c>
      <c r="O4" s="80" t="s">
        <v>312</v>
      </c>
      <c r="P4" s="80" t="s">
        <v>313</v>
      </c>
      <c r="Q4" s="101"/>
      <c r="R4" s="101"/>
      <c r="S4" s="101"/>
      <c r="T4" s="101"/>
      <c r="U4" s="101"/>
      <c r="V4" s="101"/>
      <c r="W4" s="101"/>
      <c r="X4" s="101"/>
      <c r="Y4" s="101"/>
      <c r="Z4" s="101"/>
      <c r="AA4" s="101"/>
      <c r="AB4" s="101"/>
      <c r="AC4" s="101"/>
      <c r="AD4" s="54"/>
      <c r="AE4" s="55"/>
      <c r="AF4" s="55"/>
      <c r="AG4" s="55"/>
      <c r="AH4" s="55"/>
      <c r="AI4" s="55"/>
      <c r="AJ4" s="20"/>
      <c r="AK4" s="20"/>
      <c r="AL4" s="20"/>
      <c r="AM4" s="20"/>
      <c r="AN4" s="20"/>
      <c r="AO4" s="20"/>
      <c r="AP4" s="20"/>
      <c r="AQ4" s="20"/>
      <c r="AR4" s="20"/>
      <c r="AS4" s="20"/>
      <c r="AT4" s="20"/>
      <c r="AU4" s="20"/>
      <c r="AV4" s="20"/>
      <c r="AW4" s="20"/>
      <c r="AX4" s="20"/>
      <c r="AY4" s="20"/>
      <c r="AZ4" s="20"/>
    </row>
    <row r="5" spans="1:52" ht="12.75" customHeight="1" x14ac:dyDescent="0.2">
      <c r="B5" s="350"/>
      <c r="C5" s="350"/>
      <c r="D5" s="32"/>
      <c r="E5" s="290" t="s">
        <v>314</v>
      </c>
      <c r="F5" s="290"/>
      <c r="G5" s="290"/>
      <c r="H5" s="290"/>
      <c r="I5" s="290"/>
      <c r="J5" s="32"/>
      <c r="K5" s="296"/>
      <c r="L5" s="81"/>
      <c r="M5" s="81"/>
      <c r="N5" s="81"/>
      <c r="O5" s="81"/>
      <c r="P5" s="81"/>
      <c r="Q5" s="29"/>
      <c r="R5" s="29"/>
      <c r="S5" s="29"/>
      <c r="U5" s="29"/>
      <c r="V5" s="30"/>
      <c r="W5" s="20"/>
      <c r="X5" s="19"/>
      <c r="Y5" s="19"/>
      <c r="Z5" s="19"/>
      <c r="AA5" s="20"/>
      <c r="AB5" s="19"/>
      <c r="AC5" s="100"/>
    </row>
    <row r="6" spans="1:52" x14ac:dyDescent="0.2">
      <c r="A6" s="32"/>
      <c r="B6" s="32"/>
      <c r="C6" s="32"/>
      <c r="D6" s="32"/>
      <c r="E6" s="32"/>
      <c r="F6" s="32"/>
      <c r="G6" s="32"/>
      <c r="H6" s="32"/>
      <c r="I6" s="34"/>
      <c r="J6" s="34"/>
      <c r="K6" s="34"/>
      <c r="L6" s="34"/>
      <c r="M6" s="34"/>
      <c r="N6" s="34"/>
      <c r="O6" s="34"/>
      <c r="P6" s="34"/>
      <c r="T6" s="32"/>
      <c r="W6" s="32"/>
      <c r="X6" s="32"/>
      <c r="Y6" s="32"/>
      <c r="Z6" s="32"/>
      <c r="AA6" s="32"/>
      <c r="AB6" s="32"/>
      <c r="AC6" s="32"/>
    </row>
    <row r="7" spans="1:52" ht="53.45" customHeight="1" x14ac:dyDescent="0.2">
      <c r="A7" s="363" t="s">
        <v>2</v>
      </c>
      <c r="B7" s="363" t="s">
        <v>88</v>
      </c>
      <c r="C7" s="305" t="s">
        <v>0</v>
      </c>
      <c r="D7" s="305" t="s">
        <v>20</v>
      </c>
      <c r="E7" s="363" t="s">
        <v>218</v>
      </c>
      <c r="F7" s="363"/>
      <c r="G7" s="293" t="s">
        <v>195</v>
      </c>
      <c r="H7" s="293"/>
      <c r="I7" s="293" t="s">
        <v>180</v>
      </c>
      <c r="J7" s="293" t="s">
        <v>238</v>
      </c>
      <c r="K7" s="293"/>
      <c r="L7" s="293" t="s">
        <v>239</v>
      </c>
      <c r="M7" s="293" t="s">
        <v>240</v>
      </c>
      <c r="N7" s="293" t="s">
        <v>241</v>
      </c>
      <c r="O7" s="293" t="s">
        <v>242</v>
      </c>
      <c r="P7" s="317" t="s">
        <v>243</v>
      </c>
      <c r="Q7" s="293" t="s">
        <v>315</v>
      </c>
      <c r="R7" s="293"/>
      <c r="S7" s="363" t="s">
        <v>162</v>
      </c>
      <c r="T7" s="293" t="s">
        <v>244</v>
      </c>
      <c r="U7" s="293" t="s">
        <v>552</v>
      </c>
      <c r="V7" s="293"/>
      <c r="W7" s="293" t="s">
        <v>187</v>
      </c>
      <c r="X7" s="317" t="s">
        <v>250</v>
      </c>
      <c r="Y7" s="317" t="s">
        <v>403</v>
      </c>
      <c r="Z7" s="363" t="s">
        <v>163</v>
      </c>
      <c r="AA7" s="372" t="s">
        <v>245</v>
      </c>
      <c r="AB7" s="372" t="s">
        <v>246</v>
      </c>
      <c r="AC7" s="363" t="s">
        <v>247</v>
      </c>
    </row>
    <row r="8" spans="1:52" ht="22.15" customHeight="1" x14ac:dyDescent="0.2">
      <c r="A8" s="363"/>
      <c r="B8" s="363"/>
      <c r="C8" s="305"/>
      <c r="D8" s="305"/>
      <c r="E8" s="363"/>
      <c r="F8" s="363"/>
      <c r="G8" s="293"/>
      <c r="H8" s="293"/>
      <c r="I8" s="293"/>
      <c r="J8" s="293"/>
      <c r="K8" s="293"/>
      <c r="L8" s="293"/>
      <c r="M8" s="293"/>
      <c r="N8" s="293"/>
      <c r="O8" s="293"/>
      <c r="P8" s="319"/>
      <c r="Q8" s="293"/>
      <c r="R8" s="293"/>
      <c r="S8" s="363"/>
      <c r="T8" s="293"/>
      <c r="U8" s="293" t="s">
        <v>15</v>
      </c>
      <c r="V8" s="371" t="s">
        <v>306</v>
      </c>
      <c r="W8" s="293"/>
      <c r="X8" s="319"/>
      <c r="Y8" s="319"/>
      <c r="Z8" s="363"/>
      <c r="AA8" s="372"/>
      <c r="AB8" s="372"/>
      <c r="AC8" s="363"/>
    </row>
    <row r="9" spans="1:52" ht="16.899999999999999" customHeight="1" x14ac:dyDescent="0.2">
      <c r="A9" s="363"/>
      <c r="B9" s="363"/>
      <c r="C9" s="305"/>
      <c r="D9" s="305"/>
      <c r="E9" s="293" t="s">
        <v>21</v>
      </c>
      <c r="F9" s="293" t="s">
        <v>22</v>
      </c>
      <c r="G9" s="293"/>
      <c r="H9" s="293"/>
      <c r="I9" s="293"/>
      <c r="J9" s="293"/>
      <c r="K9" s="293"/>
      <c r="L9" s="293"/>
      <c r="M9" s="293"/>
      <c r="N9" s="293"/>
      <c r="O9" s="293"/>
      <c r="P9" s="319"/>
      <c r="Q9" s="293"/>
      <c r="R9" s="293"/>
      <c r="S9" s="363"/>
      <c r="T9" s="293"/>
      <c r="U9" s="293"/>
      <c r="V9" s="371"/>
      <c r="W9" s="293"/>
      <c r="X9" s="319"/>
      <c r="Y9" s="319"/>
      <c r="Z9" s="363"/>
      <c r="AA9" s="372"/>
      <c r="AB9" s="372"/>
      <c r="AC9" s="363"/>
    </row>
    <row r="10" spans="1:52" ht="13.15" customHeight="1" x14ac:dyDescent="0.2">
      <c r="A10" s="363"/>
      <c r="B10" s="363"/>
      <c r="C10" s="305"/>
      <c r="D10" s="305"/>
      <c r="E10" s="293"/>
      <c r="F10" s="293"/>
      <c r="G10" s="324" t="s">
        <v>10</v>
      </c>
      <c r="H10" s="293" t="s">
        <v>142</v>
      </c>
      <c r="I10" s="293"/>
      <c r="J10" s="324" t="s">
        <v>67</v>
      </c>
      <c r="K10" s="293" t="s">
        <v>142</v>
      </c>
      <c r="L10" s="293"/>
      <c r="M10" s="293"/>
      <c r="N10" s="293"/>
      <c r="O10" s="293"/>
      <c r="P10" s="319"/>
      <c r="Q10" s="293"/>
      <c r="R10" s="293"/>
      <c r="S10" s="363"/>
      <c r="T10" s="293"/>
      <c r="U10" s="293"/>
      <c r="V10" s="371"/>
      <c r="W10" s="293"/>
      <c r="X10" s="319"/>
      <c r="Y10" s="319"/>
      <c r="Z10" s="363"/>
      <c r="AA10" s="372"/>
      <c r="AB10" s="372"/>
      <c r="AC10" s="363"/>
    </row>
    <row r="11" spans="1:52" ht="72" customHeight="1" x14ac:dyDescent="0.2">
      <c r="A11" s="363"/>
      <c r="B11" s="363"/>
      <c r="C11" s="305"/>
      <c r="D11" s="305"/>
      <c r="E11" s="293"/>
      <c r="F11" s="293"/>
      <c r="G11" s="324"/>
      <c r="H11" s="293"/>
      <c r="I11" s="293"/>
      <c r="J11" s="324"/>
      <c r="K11" s="293"/>
      <c r="L11" s="293"/>
      <c r="M11" s="293"/>
      <c r="N11" s="293"/>
      <c r="O11" s="293"/>
      <c r="P11" s="318"/>
      <c r="Q11" s="99" t="s">
        <v>1</v>
      </c>
      <c r="R11" s="92" t="s">
        <v>142</v>
      </c>
      <c r="S11" s="363"/>
      <c r="T11" s="293"/>
      <c r="U11" s="293"/>
      <c r="V11" s="371"/>
      <c r="W11" s="293"/>
      <c r="X11" s="318"/>
      <c r="Y11" s="318"/>
      <c r="Z11" s="363"/>
      <c r="AA11" s="372"/>
      <c r="AB11" s="372"/>
      <c r="AC11" s="363"/>
    </row>
    <row r="12" spans="1:52" s="66" customFormat="1" ht="45" customHeight="1" x14ac:dyDescent="0.25">
      <c r="A12" s="13">
        <v>1</v>
      </c>
      <c r="B12" s="13">
        <v>2</v>
      </c>
      <c r="C12" s="13">
        <v>3</v>
      </c>
      <c r="D12" s="13">
        <v>4</v>
      </c>
      <c r="E12" s="13">
        <v>5</v>
      </c>
      <c r="F12" s="13" t="s">
        <v>12</v>
      </c>
      <c r="G12" s="13">
        <v>7</v>
      </c>
      <c r="H12" s="13">
        <v>8</v>
      </c>
      <c r="I12" s="13" t="s">
        <v>68</v>
      </c>
      <c r="J12" s="13">
        <v>10</v>
      </c>
      <c r="K12" s="13" t="s">
        <v>69</v>
      </c>
      <c r="L12" s="13" t="s">
        <v>70</v>
      </c>
      <c r="M12" s="13" t="s">
        <v>71</v>
      </c>
      <c r="N12" s="13" t="s">
        <v>72</v>
      </c>
      <c r="O12" s="13" t="s">
        <v>73</v>
      </c>
      <c r="P12" s="13" t="s">
        <v>124</v>
      </c>
      <c r="Q12" s="13">
        <v>17</v>
      </c>
      <c r="R12" s="13">
        <v>18</v>
      </c>
      <c r="S12" s="13" t="s">
        <v>125</v>
      </c>
      <c r="T12" s="15">
        <v>20</v>
      </c>
      <c r="U12" s="13" t="s">
        <v>126</v>
      </c>
      <c r="V12" s="13">
        <v>22</v>
      </c>
      <c r="W12" s="13" t="s">
        <v>127</v>
      </c>
      <c r="X12" s="13" t="s">
        <v>294</v>
      </c>
      <c r="Y12" s="13">
        <v>25</v>
      </c>
      <c r="Z12" s="13" t="s">
        <v>387</v>
      </c>
      <c r="AA12" s="16" t="s">
        <v>548</v>
      </c>
      <c r="AB12" s="16" t="s">
        <v>404</v>
      </c>
      <c r="AC12" s="13" t="s">
        <v>388</v>
      </c>
    </row>
    <row r="13" spans="1:52" s="87" customFormat="1" ht="53.25" customHeight="1" x14ac:dyDescent="0.2">
      <c r="A13" s="84"/>
      <c r="B13" s="86" t="s">
        <v>318</v>
      </c>
      <c r="C13" s="84">
        <v>2</v>
      </c>
      <c r="D13" s="84">
        <v>1</v>
      </c>
      <c r="E13" s="262">
        <f>SUM(E14:E16)</f>
        <v>1110</v>
      </c>
      <c r="F13" s="262">
        <f>SUM(F14:F16)</f>
        <v>1110</v>
      </c>
      <c r="G13" s="262"/>
      <c r="H13" s="262">
        <f>SUM(H14:H16)</f>
        <v>0</v>
      </c>
      <c r="I13" s="262">
        <f>SUM(I14:I16)</f>
        <v>333</v>
      </c>
      <c r="J13" s="262"/>
      <c r="K13" s="262">
        <f t="shared" ref="K13:P13" si="0">SUM(K14:K16)</f>
        <v>131.4</v>
      </c>
      <c r="L13" s="262">
        <f t="shared" si="0"/>
        <v>111</v>
      </c>
      <c r="M13" s="262">
        <f t="shared" si="0"/>
        <v>222</v>
      </c>
      <c r="N13" s="262">
        <f t="shared" si="0"/>
        <v>166.5</v>
      </c>
      <c r="O13" s="262">
        <f t="shared" si="0"/>
        <v>277.5</v>
      </c>
      <c r="P13" s="262">
        <f t="shared" si="0"/>
        <v>222</v>
      </c>
      <c r="Q13" s="262"/>
      <c r="R13" s="262">
        <f t="shared" ref="R13:AC13" si="1">SUM(R14:R16)</f>
        <v>0</v>
      </c>
      <c r="S13" s="262">
        <f t="shared" si="1"/>
        <v>2573.4</v>
      </c>
      <c r="T13" s="262">
        <f t="shared" si="1"/>
        <v>1500</v>
      </c>
      <c r="U13" s="262">
        <f t="shared" si="1"/>
        <v>1073.4000000000001</v>
      </c>
      <c r="V13" s="281">
        <f t="shared" si="1"/>
        <v>1073.4000000000001</v>
      </c>
      <c r="W13" s="262">
        <f t="shared" si="1"/>
        <v>1110</v>
      </c>
      <c r="X13" s="262">
        <f t="shared" si="1"/>
        <v>217.5</v>
      </c>
      <c r="Y13" s="262">
        <f t="shared" si="1"/>
        <v>0</v>
      </c>
      <c r="Z13" s="262">
        <f t="shared" si="1"/>
        <v>34.799999999999997</v>
      </c>
      <c r="AA13" s="262">
        <f t="shared" si="1"/>
        <v>7.8</v>
      </c>
      <c r="AB13" s="262">
        <f t="shared" si="1"/>
        <v>1.6</v>
      </c>
      <c r="AC13" s="262">
        <f t="shared" si="1"/>
        <v>44.199999999999996</v>
      </c>
    </row>
    <row r="14" spans="1:52" ht="14.45" customHeight="1" x14ac:dyDescent="0.2">
      <c r="A14" s="18">
        <v>1</v>
      </c>
      <c r="B14" s="18" t="s">
        <v>395</v>
      </c>
      <c r="C14" s="18">
        <v>2</v>
      </c>
      <c r="D14" s="18">
        <v>1</v>
      </c>
      <c r="E14" s="200">
        <v>1110</v>
      </c>
      <c r="F14" s="200">
        <f>D14*E14</f>
        <v>1110</v>
      </c>
      <c r="G14" s="200"/>
      <c r="H14" s="200"/>
      <c r="I14" s="200">
        <f>F14*30%</f>
        <v>333</v>
      </c>
      <c r="J14" s="200">
        <v>40</v>
      </c>
      <c r="K14" s="200">
        <f>ROUND(F14/169*J14*50%,1)</f>
        <v>131.4</v>
      </c>
      <c r="L14" s="200">
        <f>F14*10%</f>
        <v>111</v>
      </c>
      <c r="M14" s="200">
        <f>F14*20%</f>
        <v>222</v>
      </c>
      <c r="N14" s="200">
        <f>F14*15%</f>
        <v>166.5</v>
      </c>
      <c r="O14" s="200">
        <f>F14*25%</f>
        <v>277.5</v>
      </c>
      <c r="P14" s="200">
        <f>F14*20%</f>
        <v>222</v>
      </c>
      <c r="Q14" s="200"/>
      <c r="R14" s="200"/>
      <c r="S14" s="200">
        <f>ROUND(F14+H14+I14+K14+L14+M14+N14+O14+P14+R14,1)</f>
        <v>2573.4</v>
      </c>
      <c r="T14" s="200">
        <v>1500</v>
      </c>
      <c r="U14" s="200">
        <f>S14-T14</f>
        <v>1073.4000000000001</v>
      </c>
      <c r="V14" s="267">
        <f>IF(U14&gt;6650*D14,6650*D14,U14)</f>
        <v>1073.4000000000001</v>
      </c>
      <c r="W14" s="200">
        <f>F14</f>
        <v>1110</v>
      </c>
      <c r="X14" s="200">
        <f>ROUND((W14+T14)/12,1)</f>
        <v>217.5</v>
      </c>
      <c r="Y14" s="200"/>
      <c r="Z14" s="200">
        <f>ROUND((S14*12+T14+U14+W14+X14+Y14)/1000,1)</f>
        <v>34.799999999999997</v>
      </c>
      <c r="AA14" s="200">
        <f>ROUND((Z14-V14/1000)*23%,1)</f>
        <v>7.8</v>
      </c>
      <c r="AB14" s="200">
        <f>ROUND(Z14*4.5%,1)</f>
        <v>1.6</v>
      </c>
      <c r="AC14" s="200">
        <f>Z14+AA14+AB14</f>
        <v>44.199999999999996</v>
      </c>
    </row>
    <row r="15" spans="1:52" x14ac:dyDescent="0.2">
      <c r="A15" s="18">
        <v>2</v>
      </c>
      <c r="B15" s="18" t="s">
        <v>319</v>
      </c>
      <c r="C15" s="18"/>
      <c r="D15" s="18"/>
      <c r="E15" s="200"/>
      <c r="F15" s="200">
        <f t="shared" ref="F15:F16" si="2">D15*E15</f>
        <v>0</v>
      </c>
      <c r="G15" s="200"/>
      <c r="H15" s="200"/>
      <c r="I15" s="200">
        <f t="shared" ref="I15:I16" si="3">F15*30%</f>
        <v>0</v>
      </c>
      <c r="J15" s="200"/>
      <c r="K15" s="200">
        <f t="shared" ref="K15:K21" si="4">ROUND(F15/169*J15*50%,1)</f>
        <v>0</v>
      </c>
      <c r="L15" s="200">
        <f t="shared" ref="L15:L16" si="5">F15*10%</f>
        <v>0</v>
      </c>
      <c r="M15" s="200">
        <f t="shared" ref="M15:M16" si="6">F15*20%</f>
        <v>0</v>
      </c>
      <c r="N15" s="200">
        <f t="shared" ref="N15:N22" si="7">F15*15%</f>
        <v>0</v>
      </c>
      <c r="O15" s="200">
        <f t="shared" ref="O15:O16" si="8">F15*25%</f>
        <v>0</v>
      </c>
      <c r="P15" s="200">
        <f t="shared" ref="P15:P16" si="9">F15*20%</f>
        <v>0</v>
      </c>
      <c r="Q15" s="200"/>
      <c r="R15" s="200"/>
      <c r="S15" s="200">
        <f t="shared" ref="S15:S22" si="10">ROUND(F15+H15+I15+K15+L15+M15+N15+O15+P15+R15,1)</f>
        <v>0</v>
      </c>
      <c r="T15" s="200"/>
      <c r="U15" s="200">
        <f t="shared" ref="U15:U16" si="11">S15-T15</f>
        <v>0</v>
      </c>
      <c r="V15" s="267">
        <f t="shared" ref="V15:V22" si="12">IF(U15&gt;6650*D15,6650*D15,U15)</f>
        <v>0</v>
      </c>
      <c r="W15" s="200">
        <f t="shared" ref="W15:W16" si="13">F15</f>
        <v>0</v>
      </c>
      <c r="X15" s="200">
        <f t="shared" ref="X15:X22" si="14">ROUND((W15+T15)/12,1)</f>
        <v>0</v>
      </c>
      <c r="Y15" s="200"/>
      <c r="Z15" s="200">
        <f t="shared" ref="Z15:Z22" si="15">ROUND((S15*12+T15+U15+W15+X15+Y15)/1000,1)</f>
        <v>0</v>
      </c>
      <c r="AA15" s="200">
        <f t="shared" ref="AA15:AA16" si="16">ROUND((Z15-V15/1000)*23%,1)</f>
        <v>0</v>
      </c>
      <c r="AB15" s="200">
        <f t="shared" ref="AB15:AB22" si="17">ROUND(Z15*4.5%,1)</f>
        <v>0</v>
      </c>
      <c r="AC15" s="200">
        <f t="shared" ref="AC15:AC16" si="18">Z15+AA15+AB15</f>
        <v>0</v>
      </c>
    </row>
    <row r="16" spans="1:52" ht="14.45" customHeight="1" x14ac:dyDescent="0.2">
      <c r="A16" s="18">
        <v>3</v>
      </c>
      <c r="B16" s="18" t="s">
        <v>319</v>
      </c>
      <c r="C16" s="18"/>
      <c r="D16" s="18"/>
      <c r="E16" s="200"/>
      <c r="F16" s="200">
        <f t="shared" si="2"/>
        <v>0</v>
      </c>
      <c r="G16" s="200"/>
      <c r="H16" s="200"/>
      <c r="I16" s="200">
        <f t="shared" si="3"/>
        <v>0</v>
      </c>
      <c r="J16" s="200"/>
      <c r="K16" s="200">
        <f t="shared" si="4"/>
        <v>0</v>
      </c>
      <c r="L16" s="200">
        <f t="shared" si="5"/>
        <v>0</v>
      </c>
      <c r="M16" s="200">
        <f t="shared" si="6"/>
        <v>0</v>
      </c>
      <c r="N16" s="200">
        <f t="shared" si="7"/>
        <v>0</v>
      </c>
      <c r="O16" s="200">
        <f t="shared" si="8"/>
        <v>0</v>
      </c>
      <c r="P16" s="200">
        <f t="shared" si="9"/>
        <v>0</v>
      </c>
      <c r="Q16" s="200"/>
      <c r="R16" s="200"/>
      <c r="S16" s="200">
        <f t="shared" si="10"/>
        <v>0</v>
      </c>
      <c r="T16" s="200"/>
      <c r="U16" s="200">
        <f t="shared" si="11"/>
        <v>0</v>
      </c>
      <c r="V16" s="267">
        <f t="shared" si="12"/>
        <v>0</v>
      </c>
      <c r="W16" s="200">
        <f t="shared" si="13"/>
        <v>0</v>
      </c>
      <c r="X16" s="200">
        <f t="shared" si="14"/>
        <v>0</v>
      </c>
      <c r="Y16" s="200"/>
      <c r="Z16" s="200">
        <f t="shared" si="15"/>
        <v>0</v>
      </c>
      <c r="AA16" s="200">
        <f t="shared" si="16"/>
        <v>0</v>
      </c>
      <c r="AB16" s="200">
        <f t="shared" si="17"/>
        <v>0</v>
      </c>
      <c r="AC16" s="200">
        <f t="shared" si="18"/>
        <v>0</v>
      </c>
    </row>
    <row r="17" spans="1:58" s="87" customFormat="1" ht="25.5" x14ac:dyDescent="0.2">
      <c r="A17" s="84"/>
      <c r="B17" s="88" t="s">
        <v>320</v>
      </c>
      <c r="C17" s="84">
        <v>3</v>
      </c>
      <c r="D17" s="84">
        <v>1</v>
      </c>
      <c r="E17" s="282">
        <f>SUM(E18:E22)</f>
        <v>1120</v>
      </c>
      <c r="F17" s="262">
        <f>SUM(F18:F22)</f>
        <v>1120</v>
      </c>
      <c r="G17" s="262"/>
      <c r="H17" s="262">
        <f>SUM(H18:H22)</f>
        <v>0</v>
      </c>
      <c r="I17" s="262">
        <f>SUM(I18:I22)</f>
        <v>336</v>
      </c>
      <c r="J17" s="262"/>
      <c r="K17" s="262">
        <f t="shared" ref="K17:P17" si="19">SUM(K18:K22)</f>
        <v>132.5</v>
      </c>
      <c r="L17" s="262">
        <f t="shared" si="19"/>
        <v>112</v>
      </c>
      <c r="M17" s="262">
        <f t="shared" si="19"/>
        <v>224</v>
      </c>
      <c r="N17" s="262">
        <f t="shared" si="19"/>
        <v>168</v>
      </c>
      <c r="O17" s="262">
        <f t="shared" si="19"/>
        <v>280</v>
      </c>
      <c r="P17" s="262">
        <f t="shared" si="19"/>
        <v>224</v>
      </c>
      <c r="Q17" s="262"/>
      <c r="R17" s="262">
        <f t="shared" ref="R17:AC17" si="20">SUM(R18:R22)</f>
        <v>0</v>
      </c>
      <c r="S17" s="262">
        <f t="shared" si="20"/>
        <v>2596.5</v>
      </c>
      <c r="T17" s="262">
        <f t="shared" si="20"/>
        <v>1500</v>
      </c>
      <c r="U17" s="262">
        <f t="shared" si="20"/>
        <v>1096.5</v>
      </c>
      <c r="V17" s="262">
        <f t="shared" si="20"/>
        <v>1096.5</v>
      </c>
      <c r="W17" s="262">
        <f t="shared" si="20"/>
        <v>1120</v>
      </c>
      <c r="X17" s="262">
        <f t="shared" si="20"/>
        <v>218.3</v>
      </c>
      <c r="Y17" s="262">
        <f t="shared" si="20"/>
        <v>0</v>
      </c>
      <c r="Z17" s="262">
        <f t="shared" si="20"/>
        <v>35.1</v>
      </c>
      <c r="AA17" s="262">
        <f t="shared" si="20"/>
        <v>7.8</v>
      </c>
      <c r="AB17" s="262">
        <f t="shared" si="20"/>
        <v>1.6</v>
      </c>
      <c r="AC17" s="262">
        <f t="shared" si="20"/>
        <v>44.5</v>
      </c>
    </row>
    <row r="18" spans="1:58" ht="14.45" customHeight="1" x14ac:dyDescent="0.2">
      <c r="A18" s="18">
        <v>1</v>
      </c>
      <c r="B18" s="18" t="s">
        <v>395</v>
      </c>
      <c r="C18" s="127">
        <v>3</v>
      </c>
      <c r="D18" s="127">
        <v>1</v>
      </c>
      <c r="E18" s="283">
        <v>1120</v>
      </c>
      <c r="F18" s="283">
        <f>D18*E18</f>
        <v>1120</v>
      </c>
      <c r="G18" s="283"/>
      <c r="H18" s="283"/>
      <c r="I18" s="283">
        <f>F18*30%</f>
        <v>336</v>
      </c>
      <c r="J18" s="283">
        <v>40</v>
      </c>
      <c r="K18" s="200">
        <f>ROUND(F18/169*J18*50%,1)</f>
        <v>132.5</v>
      </c>
      <c r="L18" s="283">
        <f>F18*10%</f>
        <v>112</v>
      </c>
      <c r="M18" s="283">
        <f>F18*20%</f>
        <v>224</v>
      </c>
      <c r="N18" s="200">
        <f t="shared" si="7"/>
        <v>168</v>
      </c>
      <c r="O18" s="283">
        <f>F18*25%</f>
        <v>280</v>
      </c>
      <c r="P18" s="283">
        <f>F18*20%</f>
        <v>224</v>
      </c>
      <c r="Q18" s="283"/>
      <c r="R18" s="283"/>
      <c r="S18" s="200">
        <f t="shared" si="10"/>
        <v>2596.5</v>
      </c>
      <c r="T18" s="283">
        <v>1500</v>
      </c>
      <c r="U18" s="283">
        <f>S18-T18</f>
        <v>1096.5</v>
      </c>
      <c r="V18" s="267">
        <f>IF(U18&gt;6650*D18,6650*D18,U18)</f>
        <v>1096.5</v>
      </c>
      <c r="W18" s="283">
        <f>F18</f>
        <v>1120</v>
      </c>
      <c r="X18" s="200">
        <f t="shared" si="14"/>
        <v>218.3</v>
      </c>
      <c r="Y18" s="283"/>
      <c r="Z18" s="200">
        <f t="shared" si="15"/>
        <v>35.1</v>
      </c>
      <c r="AA18" s="200">
        <f>ROUND((Z18-V18/1000)*23%,1)</f>
        <v>7.8</v>
      </c>
      <c r="AB18" s="200">
        <f t="shared" si="17"/>
        <v>1.6</v>
      </c>
      <c r="AC18" s="283">
        <f>Z18+AA18+AB18</f>
        <v>44.5</v>
      </c>
    </row>
    <row r="19" spans="1:58" ht="14.45" customHeight="1" x14ac:dyDescent="0.2">
      <c r="A19" s="18">
        <v>2</v>
      </c>
      <c r="B19" s="18" t="s">
        <v>319</v>
      </c>
      <c r="C19" s="18"/>
      <c r="D19" s="18"/>
      <c r="E19" s="200"/>
      <c r="F19" s="283">
        <f t="shared" ref="F19:F22" si="21">D19*E19</f>
        <v>0</v>
      </c>
      <c r="G19" s="200"/>
      <c r="H19" s="200"/>
      <c r="I19" s="283">
        <f t="shared" ref="I19:I22" si="22">F19*30%</f>
        <v>0</v>
      </c>
      <c r="J19" s="283"/>
      <c r="K19" s="200">
        <f t="shared" si="4"/>
        <v>0</v>
      </c>
      <c r="L19" s="283">
        <f t="shared" ref="L19:L22" si="23">F19*10%</f>
        <v>0</v>
      </c>
      <c r="M19" s="283">
        <f t="shared" ref="M19:M22" si="24">F19*20%</f>
        <v>0</v>
      </c>
      <c r="N19" s="200">
        <f t="shared" si="7"/>
        <v>0</v>
      </c>
      <c r="O19" s="283">
        <f t="shared" ref="O19:O22" si="25">F19*25%</f>
        <v>0</v>
      </c>
      <c r="P19" s="283">
        <f t="shared" ref="P19:P21" si="26">F19*20%</f>
        <v>0</v>
      </c>
      <c r="Q19" s="283"/>
      <c r="R19" s="283"/>
      <c r="S19" s="200">
        <f t="shared" si="10"/>
        <v>0</v>
      </c>
      <c r="T19" s="283"/>
      <c r="U19" s="283">
        <f t="shared" ref="U19:U22" si="27">S19-T19</f>
        <v>0</v>
      </c>
      <c r="V19" s="267">
        <f t="shared" si="12"/>
        <v>0</v>
      </c>
      <c r="W19" s="283">
        <f t="shared" ref="W19:W22" si="28">F19</f>
        <v>0</v>
      </c>
      <c r="X19" s="200">
        <f t="shared" si="14"/>
        <v>0</v>
      </c>
      <c r="Y19" s="283"/>
      <c r="Z19" s="200">
        <f t="shared" si="15"/>
        <v>0</v>
      </c>
      <c r="AA19" s="200">
        <f>ROUND((Z19-V27/1000)*23%,1)</f>
        <v>0</v>
      </c>
      <c r="AB19" s="200">
        <f t="shared" si="17"/>
        <v>0</v>
      </c>
      <c r="AC19" s="283">
        <f t="shared" ref="AC19:AC22" si="29">Z19+AA19+AB19</f>
        <v>0</v>
      </c>
    </row>
    <row r="20" spans="1:58" x14ac:dyDescent="0.2">
      <c r="A20" s="18">
        <v>3</v>
      </c>
      <c r="B20" s="18" t="s">
        <v>319</v>
      </c>
      <c r="C20" s="18"/>
      <c r="D20" s="18"/>
      <c r="E20" s="200"/>
      <c r="F20" s="283">
        <f t="shared" si="21"/>
        <v>0</v>
      </c>
      <c r="G20" s="200"/>
      <c r="H20" s="200"/>
      <c r="I20" s="283">
        <f t="shared" si="22"/>
        <v>0</v>
      </c>
      <c r="J20" s="283"/>
      <c r="K20" s="200">
        <f t="shared" si="4"/>
        <v>0</v>
      </c>
      <c r="L20" s="283">
        <f t="shared" si="23"/>
        <v>0</v>
      </c>
      <c r="M20" s="283">
        <f t="shared" si="24"/>
        <v>0</v>
      </c>
      <c r="N20" s="200">
        <f t="shared" si="7"/>
        <v>0</v>
      </c>
      <c r="O20" s="283">
        <f t="shared" si="25"/>
        <v>0</v>
      </c>
      <c r="P20" s="283">
        <f t="shared" si="26"/>
        <v>0</v>
      </c>
      <c r="Q20" s="283"/>
      <c r="R20" s="283"/>
      <c r="S20" s="200">
        <f t="shared" si="10"/>
        <v>0</v>
      </c>
      <c r="T20" s="283"/>
      <c r="U20" s="283">
        <f t="shared" si="27"/>
        <v>0</v>
      </c>
      <c r="V20" s="267">
        <f t="shared" si="12"/>
        <v>0</v>
      </c>
      <c r="W20" s="283">
        <f t="shared" si="28"/>
        <v>0</v>
      </c>
      <c r="X20" s="200">
        <f t="shared" si="14"/>
        <v>0</v>
      </c>
      <c r="Y20" s="200"/>
      <c r="Z20" s="200">
        <f t="shared" si="15"/>
        <v>0</v>
      </c>
      <c r="AA20" s="200">
        <f>ROUND((Z20-V28/1000)*23%,1)</f>
        <v>0</v>
      </c>
      <c r="AB20" s="200">
        <f t="shared" si="17"/>
        <v>0</v>
      </c>
      <c r="AC20" s="283">
        <f t="shared" si="29"/>
        <v>0</v>
      </c>
    </row>
    <row r="21" spans="1:58" x14ac:dyDescent="0.2">
      <c r="A21" s="18"/>
      <c r="B21" s="18"/>
      <c r="C21" s="18"/>
      <c r="D21" s="18"/>
      <c r="E21" s="200"/>
      <c r="F21" s="283">
        <f t="shared" si="21"/>
        <v>0</v>
      </c>
      <c r="G21" s="200"/>
      <c r="H21" s="200"/>
      <c r="I21" s="283">
        <f t="shared" si="22"/>
        <v>0</v>
      </c>
      <c r="J21" s="283"/>
      <c r="K21" s="200">
        <f t="shared" si="4"/>
        <v>0</v>
      </c>
      <c r="L21" s="283">
        <f t="shared" si="23"/>
        <v>0</v>
      </c>
      <c r="M21" s="283">
        <f t="shared" si="24"/>
        <v>0</v>
      </c>
      <c r="N21" s="200">
        <f t="shared" si="7"/>
        <v>0</v>
      </c>
      <c r="O21" s="283">
        <f t="shared" si="25"/>
        <v>0</v>
      </c>
      <c r="P21" s="283">
        <f t="shared" si="26"/>
        <v>0</v>
      </c>
      <c r="Q21" s="283"/>
      <c r="R21" s="283"/>
      <c r="S21" s="200">
        <f t="shared" si="10"/>
        <v>0</v>
      </c>
      <c r="T21" s="283"/>
      <c r="U21" s="283">
        <f t="shared" si="27"/>
        <v>0</v>
      </c>
      <c r="V21" s="267">
        <f t="shared" si="12"/>
        <v>0</v>
      </c>
      <c r="W21" s="283">
        <f t="shared" si="28"/>
        <v>0</v>
      </c>
      <c r="X21" s="200">
        <f t="shared" si="14"/>
        <v>0</v>
      </c>
      <c r="Y21" s="268"/>
      <c r="Z21" s="200">
        <f t="shared" si="15"/>
        <v>0</v>
      </c>
      <c r="AA21" s="200">
        <f>ROUND((Z21-V29/1000)*23%,1)</f>
        <v>0</v>
      </c>
      <c r="AB21" s="200">
        <f t="shared" si="17"/>
        <v>0</v>
      </c>
      <c r="AC21" s="283">
        <f t="shared" si="29"/>
        <v>0</v>
      </c>
    </row>
    <row r="22" spans="1:58" x14ac:dyDescent="0.2">
      <c r="A22" s="18"/>
      <c r="B22" s="18"/>
      <c r="C22" s="18"/>
      <c r="D22" s="18"/>
      <c r="E22" s="200"/>
      <c r="F22" s="283">
        <f t="shared" si="21"/>
        <v>0</v>
      </c>
      <c r="G22" s="200"/>
      <c r="H22" s="200"/>
      <c r="I22" s="283">
        <f t="shared" si="22"/>
        <v>0</v>
      </c>
      <c r="J22" s="283"/>
      <c r="K22" s="283">
        <f t="shared" ref="K22" si="30">F22/169*10*50%</f>
        <v>0</v>
      </c>
      <c r="L22" s="283">
        <f t="shared" si="23"/>
        <v>0</v>
      </c>
      <c r="M22" s="283">
        <f t="shared" si="24"/>
        <v>0</v>
      </c>
      <c r="N22" s="200">
        <f t="shared" si="7"/>
        <v>0</v>
      </c>
      <c r="O22" s="283">
        <f t="shared" si="25"/>
        <v>0</v>
      </c>
      <c r="P22" s="283">
        <f>F22*20%</f>
        <v>0</v>
      </c>
      <c r="Q22" s="283"/>
      <c r="R22" s="283"/>
      <c r="S22" s="200">
        <f t="shared" si="10"/>
        <v>0</v>
      </c>
      <c r="T22" s="283"/>
      <c r="U22" s="283">
        <f t="shared" si="27"/>
        <v>0</v>
      </c>
      <c r="V22" s="267">
        <f t="shared" si="12"/>
        <v>0</v>
      </c>
      <c r="W22" s="283">
        <f t="shared" si="28"/>
        <v>0</v>
      </c>
      <c r="X22" s="200">
        <f t="shared" si="14"/>
        <v>0</v>
      </c>
      <c r="Y22" s="200"/>
      <c r="Z22" s="200">
        <f t="shared" si="15"/>
        <v>0</v>
      </c>
      <c r="AA22" s="200">
        <f>ROUND((Z22-V30/1000)*23%,1)</f>
        <v>0</v>
      </c>
      <c r="AB22" s="200">
        <f t="shared" si="17"/>
        <v>0</v>
      </c>
      <c r="AC22" s="283">
        <f t="shared" si="29"/>
        <v>0</v>
      </c>
    </row>
    <row r="23" spans="1:58" s="20" customFormat="1" ht="16.5" customHeight="1" x14ac:dyDescent="0.2">
      <c r="A23" s="291" t="s">
        <v>410</v>
      </c>
      <c r="B23" s="291"/>
      <c r="C23" s="291"/>
      <c r="D23" s="291"/>
      <c r="E23" s="291"/>
      <c r="F23" s="291"/>
      <c r="G23" s="291"/>
      <c r="H23" s="291"/>
      <c r="I23" s="291"/>
      <c r="J23" s="291"/>
      <c r="K23" s="291"/>
      <c r="L23" s="291"/>
      <c r="M23" s="291"/>
      <c r="N23" s="291"/>
      <c r="O23" s="291"/>
      <c r="P23" s="107"/>
      <c r="Q23" s="107"/>
      <c r="R23" s="107"/>
      <c r="S23" s="107"/>
      <c r="T23" s="107"/>
      <c r="U23" s="107"/>
      <c r="V23" s="107"/>
      <c r="W23" s="107"/>
      <c r="Y23" s="49"/>
      <c r="Z23" s="49"/>
      <c r="AA23" s="49"/>
      <c r="AB23" s="49"/>
      <c r="AC23" s="49"/>
      <c r="AD23" s="69"/>
      <c r="AE23" s="69"/>
      <c r="AF23" s="69"/>
      <c r="AG23" s="19"/>
      <c r="AH23" s="19"/>
      <c r="AI23" s="19"/>
      <c r="AJ23" s="19"/>
      <c r="AK23" s="19"/>
      <c r="AL23" s="19"/>
      <c r="AM23" s="19"/>
      <c r="AQ23" s="38"/>
      <c r="AS23" s="22"/>
      <c r="AT23" s="23"/>
      <c r="AU23" s="23"/>
      <c r="AV23" s="23"/>
      <c r="AW23" s="23"/>
      <c r="AX23" s="19"/>
      <c r="AY23" s="19"/>
      <c r="AZ23" s="19"/>
      <c r="BA23" s="19"/>
      <c r="BB23" s="19"/>
      <c r="BC23" s="19"/>
      <c r="BD23" s="19"/>
      <c r="BE23" s="19"/>
      <c r="BF23" s="19"/>
    </row>
    <row r="24" spans="1:58" s="20" customFormat="1" ht="18.75" customHeight="1" x14ac:dyDescent="0.2">
      <c r="A24" s="284" t="s">
        <v>411</v>
      </c>
      <c r="B24" s="284"/>
      <c r="C24" s="284"/>
      <c r="D24" s="284"/>
      <c r="E24" s="284"/>
      <c r="F24" s="284"/>
      <c r="G24" s="284"/>
      <c r="H24" s="284"/>
      <c r="I24" s="284"/>
      <c r="J24" s="284"/>
      <c r="K24" s="284"/>
      <c r="L24" s="284"/>
      <c r="M24" s="284"/>
      <c r="N24" s="284"/>
      <c r="O24" s="284"/>
      <c r="P24" s="115"/>
      <c r="Q24" s="115"/>
      <c r="R24" s="115"/>
      <c r="S24" s="115"/>
      <c r="T24" s="115"/>
      <c r="U24" s="115"/>
      <c r="V24" s="115"/>
      <c r="W24" s="115"/>
      <c r="Y24" s="49"/>
      <c r="Z24" s="49"/>
      <c r="AA24" s="49"/>
      <c r="AB24" s="49"/>
      <c r="AC24" s="49"/>
      <c r="AD24" s="69"/>
      <c r="AE24" s="69"/>
      <c r="AF24" s="69"/>
      <c r="AG24" s="19"/>
      <c r="AH24" s="19"/>
      <c r="AI24" s="19"/>
      <c r="AJ24" s="19"/>
      <c r="AK24" s="19"/>
      <c r="AL24" s="19"/>
      <c r="AM24" s="19"/>
      <c r="AQ24" s="38"/>
      <c r="AS24" s="22"/>
      <c r="AT24" s="23"/>
      <c r="AU24" s="23"/>
      <c r="AV24" s="23"/>
      <c r="AW24" s="23"/>
      <c r="AX24" s="19"/>
      <c r="AY24" s="19"/>
      <c r="AZ24" s="19"/>
      <c r="BA24" s="19"/>
      <c r="BB24" s="19"/>
      <c r="BC24" s="19"/>
      <c r="BD24" s="19"/>
      <c r="BE24" s="19"/>
      <c r="BF24" s="19"/>
    </row>
    <row r="25" spans="1:58" s="20" customFormat="1" ht="18.75" customHeight="1" x14ac:dyDescent="0.2">
      <c r="A25" s="374" t="s">
        <v>409</v>
      </c>
      <c r="B25" s="374"/>
      <c r="C25" s="115"/>
      <c r="D25" s="115"/>
      <c r="E25" s="115"/>
      <c r="F25" s="115"/>
      <c r="G25" s="115"/>
      <c r="H25" s="115"/>
      <c r="I25" s="115"/>
      <c r="J25" s="115"/>
      <c r="K25" s="115"/>
      <c r="L25" s="115"/>
      <c r="M25" s="115"/>
      <c r="N25" s="115"/>
      <c r="O25" s="115"/>
      <c r="P25" s="115"/>
      <c r="Q25" s="115"/>
      <c r="R25" s="115"/>
      <c r="S25" s="115"/>
      <c r="T25" s="115"/>
      <c r="U25" s="115"/>
      <c r="V25" s="115"/>
      <c r="W25" s="115"/>
      <c r="X25" s="115"/>
      <c r="Y25" s="49"/>
      <c r="Z25" s="49"/>
      <c r="AA25" s="49"/>
      <c r="AB25" s="49"/>
      <c r="AC25" s="49"/>
      <c r="AD25" s="94"/>
      <c r="AE25" s="94"/>
      <c r="AF25" s="94"/>
      <c r="AG25" s="19"/>
      <c r="AH25" s="19"/>
      <c r="AI25" s="19"/>
      <c r="AJ25" s="19"/>
      <c r="AK25" s="19"/>
      <c r="AL25" s="19"/>
      <c r="AM25" s="19"/>
      <c r="AQ25" s="38"/>
      <c r="AS25" s="22"/>
      <c r="AT25" s="23"/>
      <c r="AU25" s="23"/>
      <c r="AV25" s="23"/>
      <c r="AW25" s="23"/>
      <c r="AX25" s="19"/>
      <c r="AY25" s="19"/>
      <c r="AZ25" s="19"/>
      <c r="BA25" s="19"/>
      <c r="BB25" s="19"/>
      <c r="BC25" s="19"/>
      <c r="BD25" s="19"/>
      <c r="BE25" s="19"/>
      <c r="BF25" s="19"/>
    </row>
    <row r="26" spans="1:58" ht="17.25" customHeight="1" x14ac:dyDescent="0.2">
      <c r="A26" s="285" t="s">
        <v>407</v>
      </c>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94"/>
      <c r="Z26" s="94"/>
      <c r="AA26" s="94"/>
      <c r="AB26" s="94"/>
      <c r="AC26" s="94"/>
      <c r="AD26" s="20"/>
      <c r="AE26" s="20"/>
    </row>
    <row r="27" spans="1:58" ht="24.75" customHeight="1" x14ac:dyDescent="0.2">
      <c r="A27" s="373" t="s">
        <v>408</v>
      </c>
      <c r="B27" s="373"/>
      <c r="C27" s="373"/>
      <c r="D27" s="373"/>
      <c r="E27" s="373"/>
      <c r="F27" s="373"/>
      <c r="G27" s="373"/>
      <c r="H27" s="373"/>
      <c r="I27" s="373"/>
      <c r="J27" s="373"/>
      <c r="K27" s="373"/>
      <c r="L27" s="373"/>
      <c r="M27" s="373"/>
      <c r="N27" s="373"/>
      <c r="O27" s="373"/>
      <c r="P27" s="373"/>
      <c r="Q27" s="373"/>
      <c r="R27" s="373"/>
      <c r="S27" s="373"/>
      <c r="T27" s="373"/>
      <c r="U27" s="373"/>
      <c r="V27" s="373"/>
      <c r="W27" s="373"/>
      <c r="X27" s="373"/>
      <c r="Y27" s="96"/>
      <c r="Z27" s="94"/>
      <c r="AA27" s="94"/>
      <c r="AB27" s="94"/>
      <c r="AC27" s="94"/>
      <c r="AD27" s="20"/>
      <c r="AE27" s="20"/>
    </row>
    <row r="28" spans="1:58" s="77" customFormat="1" ht="28.5" customHeight="1" x14ac:dyDescent="0.2">
      <c r="A28" s="286" t="s">
        <v>401</v>
      </c>
      <c r="B28" s="286"/>
      <c r="C28" s="286"/>
      <c r="D28" s="286"/>
      <c r="E28" s="286"/>
      <c r="F28" s="286"/>
      <c r="G28" s="286"/>
      <c r="H28" s="286"/>
      <c r="I28" s="286"/>
      <c r="J28" s="286"/>
      <c r="K28" s="286"/>
      <c r="L28" s="286"/>
      <c r="M28" s="286"/>
      <c r="N28" s="286"/>
      <c r="O28" s="286"/>
      <c r="P28" s="286"/>
      <c r="Q28" s="286"/>
      <c r="R28" s="286"/>
      <c r="S28" s="286"/>
      <c r="T28" s="286"/>
      <c r="U28" s="286"/>
      <c r="V28" s="286"/>
      <c r="W28" s="286"/>
      <c r="X28" s="286"/>
      <c r="Y28" s="78"/>
      <c r="Z28" s="20"/>
      <c r="AA28" s="20"/>
      <c r="AB28" s="20"/>
      <c r="AC28" s="20"/>
      <c r="AD28" s="75"/>
      <c r="AE28" s="76"/>
    </row>
    <row r="29" spans="1:58" s="77" customFormat="1" x14ac:dyDescent="0.2">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20"/>
      <c r="AA29" s="20"/>
      <c r="AB29" s="20"/>
      <c r="AC29" s="20"/>
      <c r="AD29" s="75"/>
      <c r="AE29" s="76"/>
    </row>
    <row r="30" spans="1:58" s="181" customFormat="1" ht="17.25" customHeight="1" x14ac:dyDescent="0.25">
      <c r="A30" s="298" t="s">
        <v>542</v>
      </c>
      <c r="B30" s="298"/>
      <c r="C30" s="298"/>
      <c r="D30" s="298"/>
      <c r="E30" s="298"/>
      <c r="F30" s="298"/>
      <c r="G30" s="304"/>
      <c r="H30" s="304"/>
      <c r="I30" s="304"/>
      <c r="J30" s="304"/>
      <c r="K30" s="180"/>
      <c r="L30" s="299"/>
      <c r="M30" s="299"/>
      <c r="N30" s="299"/>
      <c r="O30" s="182"/>
      <c r="P30" s="182"/>
      <c r="Q30" s="182"/>
      <c r="R30" s="179"/>
      <c r="S30" s="179"/>
      <c r="T30" s="179"/>
      <c r="U30" s="179"/>
      <c r="V30" s="179"/>
      <c r="W30" s="179"/>
      <c r="X30" s="179"/>
    </row>
    <row r="31" spans="1:58" s="181" customFormat="1" ht="16.899999999999999" customHeight="1" x14ac:dyDescent="0.25">
      <c r="A31" s="179"/>
      <c r="B31" s="179"/>
      <c r="C31" s="179"/>
      <c r="D31" s="179"/>
      <c r="E31" s="179"/>
      <c r="F31" s="179"/>
      <c r="G31" s="301" t="s">
        <v>538</v>
      </c>
      <c r="H31" s="301"/>
      <c r="I31" s="301"/>
      <c r="J31" s="301"/>
      <c r="K31" s="179"/>
      <c r="L31" s="301" t="s">
        <v>539</v>
      </c>
      <c r="M31" s="301"/>
      <c r="N31" s="301"/>
      <c r="O31" s="187"/>
      <c r="P31" s="187"/>
      <c r="Q31" s="187"/>
      <c r="R31" s="179"/>
      <c r="S31" s="179"/>
      <c r="T31" s="179"/>
      <c r="U31" s="179"/>
      <c r="V31" s="179"/>
      <c r="W31" s="179"/>
      <c r="X31" s="179"/>
    </row>
    <row r="32" spans="1:58" customFormat="1" ht="18.75" customHeight="1" x14ac:dyDescent="0.25">
      <c r="A32" s="298" t="s">
        <v>540</v>
      </c>
      <c r="B32" s="298"/>
      <c r="C32" s="298"/>
      <c r="D32" s="298"/>
      <c r="E32" s="298"/>
      <c r="F32" s="298"/>
      <c r="G32" s="299"/>
      <c r="H32" s="299"/>
      <c r="I32" s="299"/>
      <c r="J32" s="299"/>
      <c r="K32" s="182"/>
      <c r="L32" s="299"/>
      <c r="M32" s="299"/>
      <c r="N32" s="299"/>
      <c r="O32" s="299"/>
      <c r="P32" s="183"/>
      <c r="Q32" s="300"/>
      <c r="R32" s="300"/>
      <c r="S32" s="300"/>
      <c r="T32" s="300"/>
      <c r="U32" s="178"/>
      <c r="V32" s="178"/>
      <c r="W32" s="178"/>
      <c r="X32" s="178"/>
      <c r="Y32" s="178"/>
      <c r="Z32" s="178"/>
    </row>
    <row r="33" spans="1:26" customFormat="1" ht="15" customHeight="1" x14ac:dyDescent="0.25">
      <c r="A33" s="184"/>
      <c r="B33" s="184"/>
      <c r="C33" s="184"/>
      <c r="D33" s="184"/>
      <c r="E33" s="78"/>
      <c r="F33" s="78"/>
      <c r="G33" s="301" t="s">
        <v>538</v>
      </c>
      <c r="H33" s="301"/>
      <c r="I33" s="301"/>
      <c r="J33" s="301"/>
      <c r="K33" s="185"/>
      <c r="L33" s="302" t="s">
        <v>304</v>
      </c>
      <c r="M33" s="302"/>
      <c r="N33" s="302"/>
      <c r="O33" s="302"/>
      <c r="P33" s="138"/>
      <c r="Q33" s="303" t="s">
        <v>541</v>
      </c>
      <c r="R33" s="303"/>
      <c r="S33" s="303"/>
      <c r="T33" s="303"/>
      <c r="U33" s="178"/>
      <c r="V33" s="178"/>
      <c r="W33" s="178"/>
      <c r="X33" s="178"/>
      <c r="Y33" s="178"/>
      <c r="Z33" s="178"/>
    </row>
  </sheetData>
  <mergeCells count="56">
    <mergeCell ref="G33:J33"/>
    <mergeCell ref="L33:O33"/>
    <mergeCell ref="Q33:T33"/>
    <mergeCell ref="L30:N30"/>
    <mergeCell ref="L31:N31"/>
    <mergeCell ref="G30:J30"/>
    <mergeCell ref="G31:J31"/>
    <mergeCell ref="A32:F32"/>
    <mergeCell ref="G32:J32"/>
    <mergeCell ref="L32:O32"/>
    <mergeCell ref="Q32:T32"/>
    <mergeCell ref="A25:B25"/>
    <mergeCell ref="A30:F30"/>
    <mergeCell ref="A23:O23"/>
    <mergeCell ref="A24:O24"/>
    <mergeCell ref="A27:X27"/>
    <mergeCell ref="A28:X28"/>
    <mergeCell ref="A26:X26"/>
    <mergeCell ref="AA7:AA11"/>
    <mergeCell ref="AB7:AB11"/>
    <mergeCell ref="E9:E11"/>
    <mergeCell ref="G7:H9"/>
    <mergeCell ref="J7:K9"/>
    <mergeCell ref="K10:K11"/>
    <mergeCell ref="J10:J11"/>
    <mergeCell ref="Z7:Z11"/>
    <mergeCell ref="I7:I11"/>
    <mergeCell ref="Y7:Y11"/>
    <mergeCell ref="L7:L11"/>
    <mergeCell ref="M7:M11"/>
    <mergeCell ref="U7:V7"/>
    <mergeCell ref="P7:P11"/>
    <mergeCell ref="O7:O11"/>
    <mergeCell ref="A1:AC1"/>
    <mergeCell ref="A2:AC2"/>
    <mergeCell ref="AC7:AC11"/>
    <mergeCell ref="U8:U11"/>
    <mergeCell ref="V8:V11"/>
    <mergeCell ref="Q7:R10"/>
    <mergeCell ref="S7:S11"/>
    <mergeCell ref="T7:T11"/>
    <mergeCell ref="W7:W11"/>
    <mergeCell ref="X7:X11"/>
    <mergeCell ref="A7:A11"/>
    <mergeCell ref="B7:B11"/>
    <mergeCell ref="C7:C11"/>
    <mergeCell ref="D7:D11"/>
    <mergeCell ref="E7:F8"/>
    <mergeCell ref="F9:F11"/>
    <mergeCell ref="B4:C5"/>
    <mergeCell ref="E4:I4"/>
    <mergeCell ref="K4:K5"/>
    <mergeCell ref="E5:I5"/>
    <mergeCell ref="N7:N11"/>
    <mergeCell ref="G10:G11"/>
    <mergeCell ref="H10:H11"/>
  </mergeCells>
  <printOptions horizontalCentered="1"/>
  <pageMargins left="0.31496062992126" right="0.31496062992126" top="0.66929133858267698" bottom="0.66929133858267698" header="0.31496062992126" footer="0.31496062992126"/>
  <pageSetup paperSize="8" scale="65" fitToHeight="80" orientation="landscape" r:id="rId1"/>
  <headerFooter>
    <oddHeader>&amp;R&amp;10Tabel nr.14</oddHeader>
    <oddFooter>&amp;R&amp;"-,полужирный"&amp;8&amp;P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BN38"/>
  <sheetViews>
    <sheetView showZeros="0" view="pageBreakPreview" zoomScale="80" zoomScaleSheetLayoutView="80" workbookViewId="0">
      <pane xSplit="2" ySplit="13" topLeftCell="C14" activePane="bottomRight" state="frozen"/>
      <selection pane="topRight" activeCell="C1" sqref="C1"/>
      <selection pane="bottomLeft" activeCell="A14" sqref="A14"/>
      <selection pane="bottomRight" activeCell="E19" sqref="E19"/>
    </sheetView>
  </sheetViews>
  <sheetFormatPr defaultColWidth="8.85546875" defaultRowHeight="15" x14ac:dyDescent="0.25"/>
  <cols>
    <col min="1" max="1" width="6.140625" style="21" customWidth="1"/>
    <col min="2" max="2" width="21" style="21" customWidth="1"/>
    <col min="3" max="3" width="11" style="21" customWidth="1"/>
    <col min="4" max="4" width="4.42578125" style="21" customWidth="1"/>
    <col min="5" max="5" width="4.85546875" style="21" customWidth="1"/>
    <col min="6" max="6" width="8.28515625" style="21" customWidth="1"/>
    <col min="7" max="7" width="9.5703125" style="21" customWidth="1"/>
    <col min="8" max="8" width="6.85546875" style="21" customWidth="1"/>
    <col min="9" max="9" width="8.85546875" style="21"/>
    <col min="10" max="10" width="5.7109375" style="21" customWidth="1"/>
    <col min="11" max="11" width="7.7109375" style="21" customWidth="1"/>
    <col min="12" max="12" width="8.5703125" style="21" customWidth="1"/>
    <col min="13" max="13" width="8.140625" style="21" customWidth="1"/>
    <col min="14" max="14" width="7.7109375" style="21" customWidth="1"/>
    <col min="15" max="15" width="7.85546875" style="21" customWidth="1"/>
    <col min="16" max="16" width="12" style="21" customWidth="1"/>
    <col min="17" max="17" width="7.140625" style="21" customWidth="1"/>
    <col min="18" max="18" width="10.7109375" style="21" customWidth="1"/>
    <col min="19" max="19" width="6.42578125" style="21" customWidth="1"/>
    <col min="20" max="20" width="9.28515625" style="21" customWidth="1"/>
    <col min="21" max="21" width="17.140625" style="21" customWidth="1"/>
    <col min="22" max="22" width="14.28515625" style="21" customWidth="1"/>
    <col min="23" max="23" width="13.85546875" style="21" customWidth="1"/>
    <col min="24" max="24" width="11.5703125" style="21" customWidth="1"/>
    <col min="25" max="25" width="6" style="21" customWidth="1"/>
    <col min="26" max="26" width="8.5703125" style="21" customWidth="1"/>
    <col min="27" max="27" width="11.7109375" style="21" customWidth="1"/>
    <col min="28" max="28" width="10.28515625" style="21" customWidth="1"/>
    <col min="29" max="29" width="9.5703125" style="21" customWidth="1"/>
    <col min="30" max="30" width="8.85546875" style="21" customWidth="1"/>
    <col min="31" max="31" width="13.28515625" style="21" customWidth="1"/>
    <col min="32" max="32" width="11.28515625" style="21" customWidth="1"/>
    <col min="33" max="33" width="10.42578125" style="21" customWidth="1"/>
    <col min="34" max="34" width="6.7109375" style="21" customWidth="1"/>
    <col min="35" max="36" width="7.42578125" style="21" customWidth="1"/>
    <col min="37" max="37" width="7.5703125" style="21" customWidth="1"/>
    <col min="38" max="38" width="5.85546875" style="21" customWidth="1"/>
    <col min="39" max="39" width="7.85546875" style="21" customWidth="1"/>
    <col min="40" max="40" width="13" style="21" customWidth="1"/>
    <col min="41" max="41" width="10.28515625" style="21" customWidth="1"/>
    <col min="42" max="42" width="7.5703125" style="21" customWidth="1"/>
    <col min="43" max="43" width="10.140625" style="21" customWidth="1"/>
    <col min="44" max="44" width="7.140625" style="21" customWidth="1"/>
    <col min="45" max="45" width="9.140625" style="21" customWidth="1"/>
    <col min="46" max="46" width="9.7109375" style="21" customWidth="1"/>
    <col min="47" max="47" width="13.140625" style="21" customWidth="1"/>
    <col min="48" max="48" width="8.85546875" style="21" customWidth="1"/>
    <col min="49" max="49" width="9.140625" style="21" customWidth="1"/>
    <col min="50" max="50" width="11.85546875" style="21" customWidth="1"/>
    <col min="51" max="51" width="11.28515625" style="21" customWidth="1"/>
    <col min="52" max="52" width="10.85546875" style="21" customWidth="1"/>
    <col min="53" max="53" width="9.85546875" style="21" customWidth="1"/>
    <col min="54" max="54" width="10.85546875" style="21" customWidth="1"/>
    <col min="55" max="16384" width="8.85546875" style="8"/>
  </cols>
  <sheetData>
    <row r="1" spans="1:66" s="173" customFormat="1" ht="22.15" customHeight="1" x14ac:dyDescent="0.25">
      <c r="A1" s="25"/>
      <c r="B1" s="26"/>
      <c r="C1" s="26"/>
      <c r="D1" s="25"/>
      <c r="E1" s="27"/>
      <c r="F1" s="25"/>
      <c r="G1" s="27"/>
      <c r="H1" s="25"/>
      <c r="I1" s="25"/>
      <c r="J1" s="27"/>
      <c r="K1" s="25"/>
      <c r="L1" s="27"/>
      <c r="M1" s="25"/>
      <c r="N1" s="322" t="s">
        <v>499</v>
      </c>
      <c r="O1" s="322"/>
      <c r="P1" s="322"/>
      <c r="Q1" s="322"/>
      <c r="R1" s="322"/>
      <c r="S1" s="322"/>
      <c r="T1" s="322"/>
      <c r="U1" s="322"/>
      <c r="V1" s="322"/>
      <c r="W1" s="322"/>
      <c r="X1" s="322"/>
      <c r="Y1" s="322"/>
      <c r="Z1" s="322"/>
      <c r="AA1" s="322"/>
      <c r="AB1" s="322"/>
      <c r="AC1" s="322"/>
      <c r="AD1" s="322"/>
      <c r="AE1" s="322"/>
      <c r="AF1" s="322"/>
      <c r="AG1" s="322"/>
      <c r="AH1" s="27"/>
      <c r="AI1" s="27"/>
      <c r="AJ1" s="27"/>
      <c r="AK1" s="42"/>
      <c r="AL1" s="42"/>
      <c r="AM1" s="42"/>
      <c r="AN1" s="42"/>
      <c r="AO1" s="42"/>
      <c r="AP1" s="42"/>
      <c r="AQ1" s="42"/>
      <c r="AR1" s="42"/>
      <c r="AS1" s="42"/>
      <c r="AT1" s="42"/>
      <c r="AU1" s="42"/>
      <c r="AV1" s="42"/>
      <c r="AW1" s="42"/>
      <c r="AX1" s="42"/>
      <c r="AY1" s="42"/>
      <c r="AZ1" s="42"/>
      <c r="BA1" s="42"/>
      <c r="BB1" s="42"/>
      <c r="BC1" s="42"/>
      <c r="BD1" s="42"/>
      <c r="BE1" s="42"/>
      <c r="BF1" s="10"/>
      <c r="BG1" s="10"/>
      <c r="BH1" s="10"/>
      <c r="BI1" s="10"/>
      <c r="BJ1" s="10"/>
      <c r="BK1" s="10"/>
      <c r="BL1" s="10"/>
      <c r="BM1" s="10"/>
      <c r="BN1" s="10"/>
    </row>
    <row r="2" spans="1:66" s="173" customFormat="1" ht="17.45" customHeight="1" x14ac:dyDescent="0.25">
      <c r="A2" s="25"/>
      <c r="B2" s="28"/>
      <c r="C2" s="28"/>
      <c r="D2" s="174"/>
      <c r="E2" s="174"/>
      <c r="F2" s="174"/>
      <c r="G2" s="174"/>
      <c r="H2" s="174"/>
      <c r="I2" s="323" t="s">
        <v>140</v>
      </c>
      <c r="J2" s="323"/>
      <c r="K2" s="323"/>
      <c r="L2" s="323"/>
      <c r="M2" s="323"/>
      <c r="N2" s="323"/>
      <c r="O2" s="323"/>
      <c r="P2" s="323"/>
      <c r="Q2" s="323"/>
      <c r="R2" s="323"/>
      <c r="S2" s="323"/>
      <c r="T2" s="323"/>
      <c r="U2" s="323"/>
      <c r="V2" s="323"/>
      <c r="W2" s="323"/>
      <c r="X2" s="323"/>
      <c r="Y2" s="323"/>
      <c r="Z2" s="323"/>
      <c r="AA2" s="323"/>
      <c r="AB2" s="323"/>
      <c r="AC2" s="323"/>
      <c r="AD2" s="323"/>
      <c r="AE2" s="323"/>
      <c r="AF2" s="323"/>
      <c r="AG2" s="323"/>
      <c r="AH2" s="323"/>
      <c r="AI2" s="323"/>
      <c r="AJ2" s="323"/>
      <c r="AK2" s="43"/>
      <c r="AL2" s="43"/>
      <c r="AM2" s="43"/>
      <c r="AN2" s="43"/>
      <c r="AO2" s="43"/>
      <c r="AP2" s="43"/>
      <c r="AQ2" s="43"/>
      <c r="AR2" s="43"/>
      <c r="AS2" s="43"/>
      <c r="AT2" s="43"/>
      <c r="AU2" s="43"/>
      <c r="AV2" s="43"/>
      <c r="AW2" s="43"/>
      <c r="AX2" s="43"/>
      <c r="AY2" s="43"/>
      <c r="AZ2" s="43"/>
      <c r="BA2" s="43"/>
      <c r="BB2" s="43"/>
      <c r="BC2" s="43"/>
      <c r="BD2" s="43"/>
      <c r="BE2" s="43"/>
      <c r="BF2" s="11"/>
      <c r="BG2" s="11"/>
      <c r="BH2" s="11"/>
      <c r="BI2" s="11"/>
      <c r="BJ2" s="11"/>
      <c r="BK2" s="10"/>
      <c r="BL2" s="10"/>
      <c r="BM2" s="10"/>
      <c r="BN2" s="10"/>
    </row>
    <row r="3" spans="1:66" s="173" customFormat="1" ht="17.45" customHeight="1" x14ac:dyDescent="0.25">
      <c r="A3" s="25"/>
      <c r="B3" s="28"/>
      <c r="C3" s="28"/>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11"/>
      <c r="BG3" s="11"/>
      <c r="BH3" s="11"/>
      <c r="BI3" s="11"/>
      <c r="BJ3" s="11"/>
      <c r="BK3" s="10"/>
      <c r="BL3" s="10"/>
      <c r="BM3" s="10"/>
      <c r="BN3" s="10"/>
    </row>
    <row r="4" spans="1:66" s="173" customFormat="1" ht="17.45" customHeight="1" x14ac:dyDescent="0.2">
      <c r="A4" s="25"/>
      <c r="B4" s="289" t="s">
        <v>307</v>
      </c>
      <c r="C4" s="289"/>
      <c r="D4" s="79"/>
      <c r="E4" s="289" t="s">
        <v>308</v>
      </c>
      <c r="F4" s="289"/>
      <c r="G4" s="289"/>
      <c r="H4" s="289"/>
      <c r="I4" s="289"/>
      <c r="J4" s="75"/>
      <c r="K4" s="296" t="s">
        <v>164</v>
      </c>
      <c r="L4" s="80" t="s">
        <v>309</v>
      </c>
      <c r="M4" s="80" t="s">
        <v>310</v>
      </c>
      <c r="N4" s="80" t="s">
        <v>311</v>
      </c>
      <c r="O4" s="80" t="s">
        <v>312</v>
      </c>
      <c r="P4" s="80" t="s">
        <v>313</v>
      </c>
      <c r="Q4" s="121"/>
      <c r="R4" s="121"/>
      <c r="S4" s="121"/>
      <c r="T4" s="121"/>
      <c r="U4" s="121"/>
      <c r="V4" s="121"/>
      <c r="W4" s="121"/>
      <c r="X4" s="121"/>
      <c r="Y4" s="121"/>
      <c r="Z4" s="121"/>
      <c r="AA4" s="121"/>
      <c r="AB4" s="121"/>
      <c r="AC4" s="121"/>
      <c r="AD4" s="121"/>
      <c r="AE4" s="121"/>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11"/>
      <c r="BG4" s="11"/>
      <c r="BH4" s="11"/>
      <c r="BI4" s="11"/>
      <c r="BJ4" s="11"/>
      <c r="BK4" s="10"/>
      <c r="BL4" s="10"/>
      <c r="BM4" s="10"/>
      <c r="BN4" s="10"/>
    </row>
    <row r="5" spans="1:66" s="5" customFormat="1" ht="15.75" x14ac:dyDescent="0.25">
      <c r="A5" s="21"/>
      <c r="B5" s="32"/>
      <c r="C5" s="32"/>
      <c r="D5" s="32"/>
      <c r="E5" s="290" t="s">
        <v>314</v>
      </c>
      <c r="F5" s="290"/>
      <c r="G5" s="290"/>
      <c r="H5" s="290"/>
      <c r="I5" s="290"/>
      <c r="J5" s="32"/>
      <c r="K5" s="296"/>
      <c r="L5" s="81"/>
      <c r="M5" s="81"/>
      <c r="N5" s="81"/>
      <c r="O5" s="81"/>
      <c r="P5" s="81"/>
      <c r="Q5" s="21"/>
      <c r="R5" s="21"/>
      <c r="S5" s="21"/>
      <c r="T5" s="29"/>
      <c r="U5" s="21"/>
      <c r="V5" s="21"/>
      <c r="W5" s="21"/>
      <c r="X5" s="21"/>
      <c r="Y5" s="21"/>
      <c r="Z5" s="21"/>
      <c r="AA5" s="21"/>
      <c r="AB5" s="30"/>
      <c r="AC5" s="20"/>
      <c r="AD5" s="19"/>
      <c r="AE5" s="19"/>
      <c r="AF5" s="33"/>
      <c r="AG5" s="20"/>
      <c r="AH5" s="20"/>
      <c r="AI5" s="20"/>
      <c r="AJ5" s="20"/>
      <c r="AK5" s="20"/>
      <c r="AL5" s="20"/>
      <c r="AM5" s="20"/>
      <c r="AN5" s="118"/>
      <c r="AO5" s="118"/>
      <c r="AP5" s="118"/>
      <c r="AQ5" s="118"/>
      <c r="AR5" s="19"/>
      <c r="AS5" s="19"/>
      <c r="AT5" s="19"/>
      <c r="AU5" s="19"/>
      <c r="AV5" s="20"/>
      <c r="AW5" s="20"/>
      <c r="AX5" s="20"/>
      <c r="AY5" s="19"/>
      <c r="AZ5" s="19"/>
      <c r="BA5" s="19"/>
      <c r="BB5" s="20"/>
      <c r="BC5" s="19"/>
      <c r="BD5" s="122"/>
      <c r="BE5" s="20"/>
    </row>
    <row r="6" spans="1:66" s="65" customFormat="1" x14ac:dyDescent="0.25">
      <c r="A6" s="32"/>
      <c r="B6" s="32"/>
      <c r="C6" s="32"/>
      <c r="D6" s="32"/>
      <c r="E6" s="32"/>
      <c r="F6" s="32"/>
      <c r="G6" s="32"/>
      <c r="H6" s="32"/>
      <c r="I6" s="32"/>
      <c r="J6" s="32"/>
      <c r="K6" s="34"/>
      <c r="L6" s="34"/>
      <c r="M6" s="34"/>
      <c r="N6" s="34"/>
      <c r="O6" s="34"/>
      <c r="P6" s="32"/>
      <c r="Q6" s="32"/>
      <c r="R6" s="34"/>
      <c r="S6" s="34"/>
      <c r="T6" s="34"/>
      <c r="U6" s="32"/>
      <c r="V6" s="32"/>
      <c r="W6" s="32"/>
      <c r="X6" s="32"/>
      <c r="Y6" s="32"/>
      <c r="Z6" s="34"/>
      <c r="AA6" s="34"/>
      <c r="AB6" s="34"/>
      <c r="AC6" s="32"/>
      <c r="AD6" s="32"/>
      <c r="AE6" s="32"/>
      <c r="AF6" s="21"/>
      <c r="AG6" s="21"/>
      <c r="AH6" s="21"/>
      <c r="AI6" s="21"/>
      <c r="AJ6" s="21"/>
      <c r="AK6" s="21"/>
      <c r="AL6" s="21"/>
      <c r="AM6" s="21"/>
      <c r="AN6" s="21"/>
      <c r="AO6" s="21"/>
      <c r="AP6" s="21"/>
      <c r="AQ6" s="21"/>
      <c r="AR6" s="32"/>
      <c r="AS6" s="32"/>
      <c r="AT6" s="21"/>
      <c r="AU6" s="21"/>
      <c r="AV6" s="32"/>
      <c r="AW6" s="32"/>
      <c r="AX6" s="32"/>
      <c r="AY6" s="32"/>
      <c r="AZ6" s="32"/>
      <c r="BA6" s="32"/>
      <c r="BB6" s="32"/>
      <c r="BC6" s="32"/>
      <c r="BD6" s="32"/>
      <c r="BE6" s="32"/>
    </row>
    <row r="7" spans="1:66" s="65" customFormat="1" ht="31.5" customHeight="1" x14ac:dyDescent="0.25">
      <c r="A7" s="293" t="s">
        <v>2</v>
      </c>
      <c r="B7" s="293" t="s">
        <v>88</v>
      </c>
      <c r="C7" s="293" t="s">
        <v>170</v>
      </c>
      <c r="D7" s="305" t="s">
        <v>0</v>
      </c>
      <c r="E7" s="305" t="s">
        <v>74</v>
      </c>
      <c r="F7" s="293" t="s">
        <v>391</v>
      </c>
      <c r="G7" s="293"/>
      <c r="H7" s="327" t="s">
        <v>500</v>
      </c>
      <c r="I7" s="293" t="s">
        <v>173</v>
      </c>
      <c r="J7" s="293" t="s">
        <v>174</v>
      </c>
      <c r="K7" s="293"/>
      <c r="L7" s="293" t="s">
        <v>176</v>
      </c>
      <c r="M7" s="293"/>
      <c r="N7" s="309" t="s">
        <v>177</v>
      </c>
      <c r="O7" s="310"/>
      <c r="P7" s="293" t="s">
        <v>195</v>
      </c>
      <c r="Q7" s="293"/>
      <c r="R7" s="293" t="s">
        <v>180</v>
      </c>
      <c r="S7" s="293" t="s">
        <v>346</v>
      </c>
      <c r="T7" s="293"/>
      <c r="U7" s="306" t="s">
        <v>347</v>
      </c>
      <c r="V7" s="307"/>
      <c r="W7" s="307"/>
      <c r="X7" s="308"/>
      <c r="Y7" s="293" t="s">
        <v>348</v>
      </c>
      <c r="Z7" s="293"/>
      <c r="AA7" s="293" t="s">
        <v>349</v>
      </c>
      <c r="AB7" s="293" t="s">
        <v>350</v>
      </c>
      <c r="AC7" s="321" t="s">
        <v>351</v>
      </c>
      <c r="AD7" s="321" t="s">
        <v>352</v>
      </c>
      <c r="AE7" s="293" t="s">
        <v>353</v>
      </c>
      <c r="AF7" s="293" t="s">
        <v>209</v>
      </c>
      <c r="AG7" s="293" t="s">
        <v>354</v>
      </c>
      <c r="AH7" s="293" t="s">
        <v>210</v>
      </c>
      <c r="AI7" s="293"/>
      <c r="AJ7" s="293" t="s">
        <v>211</v>
      </c>
      <c r="AK7" s="293"/>
      <c r="AL7" s="293" t="s">
        <v>212</v>
      </c>
      <c r="AM7" s="293"/>
      <c r="AN7" s="293" t="s">
        <v>213</v>
      </c>
      <c r="AO7" s="324" t="s">
        <v>475</v>
      </c>
      <c r="AP7" s="324"/>
      <c r="AQ7" s="315" t="s">
        <v>501</v>
      </c>
      <c r="AR7" s="293" t="s">
        <v>467</v>
      </c>
      <c r="AS7" s="293"/>
      <c r="AT7" s="293" t="s">
        <v>355</v>
      </c>
      <c r="AU7" s="293" t="s">
        <v>184</v>
      </c>
      <c r="AV7" s="293" t="s">
        <v>343</v>
      </c>
      <c r="AW7" s="293" t="s">
        <v>331</v>
      </c>
      <c r="AX7" s="293"/>
      <c r="AY7" s="293" t="s">
        <v>187</v>
      </c>
      <c r="AZ7" s="317" t="s">
        <v>301</v>
      </c>
      <c r="BA7" s="317" t="s">
        <v>345</v>
      </c>
      <c r="BB7" s="293" t="s">
        <v>188</v>
      </c>
      <c r="BC7" s="320" t="s">
        <v>166</v>
      </c>
      <c r="BD7" s="320" t="s">
        <v>167</v>
      </c>
      <c r="BE7" s="293" t="s">
        <v>332</v>
      </c>
    </row>
    <row r="8" spans="1:66" s="65" customFormat="1" ht="25.15" customHeight="1" x14ac:dyDescent="0.25">
      <c r="A8" s="293"/>
      <c r="B8" s="293"/>
      <c r="C8" s="293"/>
      <c r="D8" s="305"/>
      <c r="E8" s="305"/>
      <c r="F8" s="293"/>
      <c r="G8" s="293"/>
      <c r="H8" s="328"/>
      <c r="I8" s="293"/>
      <c r="J8" s="293"/>
      <c r="K8" s="293"/>
      <c r="L8" s="293"/>
      <c r="M8" s="293"/>
      <c r="N8" s="311"/>
      <c r="O8" s="312"/>
      <c r="P8" s="293"/>
      <c r="Q8" s="293"/>
      <c r="R8" s="293"/>
      <c r="S8" s="293"/>
      <c r="T8" s="293"/>
      <c r="U8" s="326" t="s">
        <v>356</v>
      </c>
      <c r="V8" s="293" t="s">
        <v>357</v>
      </c>
      <c r="W8" s="317" t="s">
        <v>358</v>
      </c>
      <c r="X8" s="317" t="s">
        <v>359</v>
      </c>
      <c r="Y8" s="293"/>
      <c r="Z8" s="293"/>
      <c r="AA8" s="293"/>
      <c r="AB8" s="293"/>
      <c r="AC8" s="321"/>
      <c r="AD8" s="321"/>
      <c r="AE8" s="293"/>
      <c r="AF8" s="293"/>
      <c r="AG8" s="293"/>
      <c r="AH8" s="293"/>
      <c r="AI8" s="293"/>
      <c r="AJ8" s="293"/>
      <c r="AK8" s="293"/>
      <c r="AL8" s="293"/>
      <c r="AM8" s="293"/>
      <c r="AN8" s="293"/>
      <c r="AO8" s="324"/>
      <c r="AP8" s="324"/>
      <c r="AQ8" s="325"/>
      <c r="AR8" s="293"/>
      <c r="AS8" s="293"/>
      <c r="AT8" s="293"/>
      <c r="AU8" s="293"/>
      <c r="AV8" s="293"/>
      <c r="AW8" s="293"/>
      <c r="AX8" s="293"/>
      <c r="AY8" s="293"/>
      <c r="AZ8" s="319"/>
      <c r="BA8" s="319"/>
      <c r="BB8" s="293"/>
      <c r="BC8" s="320"/>
      <c r="BD8" s="320"/>
      <c r="BE8" s="293"/>
    </row>
    <row r="9" spans="1:66" s="65" customFormat="1" ht="25.15" customHeight="1" x14ac:dyDescent="0.25">
      <c r="A9" s="293"/>
      <c r="B9" s="293"/>
      <c r="C9" s="293"/>
      <c r="D9" s="305"/>
      <c r="E9" s="305"/>
      <c r="F9" s="293"/>
      <c r="G9" s="293"/>
      <c r="H9" s="328"/>
      <c r="I9" s="293"/>
      <c r="J9" s="293"/>
      <c r="K9" s="293"/>
      <c r="L9" s="293"/>
      <c r="M9" s="293"/>
      <c r="N9" s="311"/>
      <c r="O9" s="312"/>
      <c r="P9" s="293"/>
      <c r="Q9" s="293"/>
      <c r="R9" s="293"/>
      <c r="S9" s="293"/>
      <c r="T9" s="293"/>
      <c r="U9" s="326"/>
      <c r="V9" s="293"/>
      <c r="W9" s="319"/>
      <c r="X9" s="319"/>
      <c r="Y9" s="293"/>
      <c r="Z9" s="293"/>
      <c r="AA9" s="293"/>
      <c r="AB9" s="293"/>
      <c r="AC9" s="321"/>
      <c r="AD9" s="321"/>
      <c r="AE9" s="293"/>
      <c r="AF9" s="293"/>
      <c r="AG9" s="293"/>
      <c r="AH9" s="293"/>
      <c r="AI9" s="293"/>
      <c r="AJ9" s="293"/>
      <c r="AK9" s="293"/>
      <c r="AL9" s="293"/>
      <c r="AM9" s="293"/>
      <c r="AN9" s="293"/>
      <c r="AO9" s="324"/>
      <c r="AP9" s="324"/>
      <c r="AQ9" s="325"/>
      <c r="AR9" s="293"/>
      <c r="AS9" s="293"/>
      <c r="AT9" s="293"/>
      <c r="AU9" s="293"/>
      <c r="AV9" s="293"/>
      <c r="AW9" s="293" t="s">
        <v>15</v>
      </c>
      <c r="AX9" s="320" t="s">
        <v>306</v>
      </c>
      <c r="AY9" s="293"/>
      <c r="AZ9" s="319"/>
      <c r="BA9" s="319"/>
      <c r="BB9" s="293"/>
      <c r="BC9" s="320"/>
      <c r="BD9" s="320"/>
      <c r="BE9" s="293"/>
    </row>
    <row r="10" spans="1:66" s="65" customFormat="1" ht="90.75" customHeight="1" x14ac:dyDescent="0.25">
      <c r="A10" s="293"/>
      <c r="B10" s="293"/>
      <c r="C10" s="293"/>
      <c r="D10" s="305"/>
      <c r="E10" s="305"/>
      <c r="F10" s="293" t="s">
        <v>21</v>
      </c>
      <c r="G10" s="293" t="s">
        <v>22</v>
      </c>
      <c r="H10" s="328"/>
      <c r="I10" s="293"/>
      <c r="J10" s="293"/>
      <c r="K10" s="293"/>
      <c r="L10" s="293"/>
      <c r="M10" s="293"/>
      <c r="N10" s="311"/>
      <c r="O10" s="312"/>
      <c r="P10" s="293"/>
      <c r="Q10" s="293"/>
      <c r="R10" s="293"/>
      <c r="S10" s="293"/>
      <c r="T10" s="293"/>
      <c r="U10" s="326"/>
      <c r="V10" s="293"/>
      <c r="W10" s="319"/>
      <c r="X10" s="319"/>
      <c r="Y10" s="293"/>
      <c r="Z10" s="293"/>
      <c r="AA10" s="293"/>
      <c r="AB10" s="293"/>
      <c r="AC10" s="321"/>
      <c r="AD10" s="321"/>
      <c r="AE10" s="293"/>
      <c r="AF10" s="293"/>
      <c r="AG10" s="293"/>
      <c r="AH10" s="293"/>
      <c r="AI10" s="293"/>
      <c r="AJ10" s="293"/>
      <c r="AK10" s="293"/>
      <c r="AL10" s="293"/>
      <c r="AM10" s="293"/>
      <c r="AN10" s="293"/>
      <c r="AO10" s="315" t="s">
        <v>67</v>
      </c>
      <c r="AP10" s="315" t="s">
        <v>142</v>
      </c>
      <c r="AQ10" s="325"/>
      <c r="AR10" s="293"/>
      <c r="AS10" s="293"/>
      <c r="AT10" s="293"/>
      <c r="AU10" s="293"/>
      <c r="AV10" s="293"/>
      <c r="AW10" s="293"/>
      <c r="AX10" s="320"/>
      <c r="AY10" s="293"/>
      <c r="AZ10" s="319"/>
      <c r="BA10" s="319"/>
      <c r="BB10" s="293"/>
      <c r="BC10" s="320"/>
      <c r="BD10" s="320"/>
      <c r="BE10" s="293"/>
    </row>
    <row r="11" spans="1:66" s="65" customFormat="1" ht="21" customHeight="1" x14ac:dyDescent="0.25">
      <c r="A11" s="293"/>
      <c r="B11" s="293"/>
      <c r="C11" s="293"/>
      <c r="D11" s="305"/>
      <c r="E11" s="305"/>
      <c r="F11" s="293"/>
      <c r="G11" s="293"/>
      <c r="H11" s="328"/>
      <c r="I11" s="293"/>
      <c r="J11" s="293"/>
      <c r="K11" s="293"/>
      <c r="L11" s="293"/>
      <c r="M11" s="293"/>
      <c r="N11" s="313"/>
      <c r="O11" s="314"/>
      <c r="P11" s="315" t="s">
        <v>302</v>
      </c>
      <c r="Q11" s="317" t="s">
        <v>142</v>
      </c>
      <c r="R11" s="293"/>
      <c r="S11" s="293"/>
      <c r="T11" s="293"/>
      <c r="U11" s="326"/>
      <c r="V11" s="293"/>
      <c r="W11" s="319"/>
      <c r="X11" s="319"/>
      <c r="Y11" s="293"/>
      <c r="Z11" s="293"/>
      <c r="AA11" s="293"/>
      <c r="AB11" s="293"/>
      <c r="AC11" s="321"/>
      <c r="AD11" s="321"/>
      <c r="AE11" s="293"/>
      <c r="AF11" s="293"/>
      <c r="AG11" s="293"/>
      <c r="AH11" s="293"/>
      <c r="AI11" s="293"/>
      <c r="AJ11" s="293"/>
      <c r="AK11" s="293"/>
      <c r="AL11" s="293"/>
      <c r="AM11" s="293"/>
      <c r="AN11" s="293"/>
      <c r="AO11" s="325"/>
      <c r="AP11" s="325"/>
      <c r="AQ11" s="325"/>
      <c r="AR11" s="293"/>
      <c r="AS11" s="293"/>
      <c r="AT11" s="293"/>
      <c r="AU11" s="293"/>
      <c r="AV11" s="293"/>
      <c r="AW11" s="293"/>
      <c r="AX11" s="320"/>
      <c r="AY11" s="293"/>
      <c r="AZ11" s="319"/>
      <c r="BA11" s="319"/>
      <c r="BB11" s="293"/>
      <c r="BC11" s="320"/>
      <c r="BD11" s="320"/>
      <c r="BE11" s="293"/>
    </row>
    <row r="12" spans="1:66" s="65" customFormat="1" ht="38.25" customHeight="1" x14ac:dyDescent="0.25">
      <c r="A12" s="293"/>
      <c r="B12" s="293"/>
      <c r="C12" s="293"/>
      <c r="D12" s="305"/>
      <c r="E12" s="305"/>
      <c r="F12" s="293"/>
      <c r="G12" s="293"/>
      <c r="H12" s="329"/>
      <c r="I12" s="293"/>
      <c r="J12" s="117" t="s">
        <v>1</v>
      </c>
      <c r="K12" s="117" t="s">
        <v>142</v>
      </c>
      <c r="L12" s="117" t="s">
        <v>7</v>
      </c>
      <c r="M12" s="117" t="s">
        <v>142</v>
      </c>
      <c r="N12" s="117" t="s">
        <v>8</v>
      </c>
      <c r="O12" s="117" t="s">
        <v>142</v>
      </c>
      <c r="P12" s="316"/>
      <c r="Q12" s="318"/>
      <c r="R12" s="293"/>
      <c r="S12" s="117" t="s">
        <v>1</v>
      </c>
      <c r="T12" s="117" t="s">
        <v>142</v>
      </c>
      <c r="U12" s="326"/>
      <c r="V12" s="293"/>
      <c r="W12" s="318"/>
      <c r="X12" s="318"/>
      <c r="Y12" s="117" t="s">
        <v>1</v>
      </c>
      <c r="Z12" s="117" t="s">
        <v>142</v>
      </c>
      <c r="AA12" s="293"/>
      <c r="AB12" s="293"/>
      <c r="AC12" s="321"/>
      <c r="AD12" s="321"/>
      <c r="AE12" s="293"/>
      <c r="AF12" s="293"/>
      <c r="AG12" s="293"/>
      <c r="AH12" s="123" t="s">
        <v>1</v>
      </c>
      <c r="AI12" s="117" t="s">
        <v>142</v>
      </c>
      <c r="AJ12" s="123" t="s">
        <v>1</v>
      </c>
      <c r="AK12" s="117" t="s">
        <v>142</v>
      </c>
      <c r="AL12" s="123" t="s">
        <v>1</v>
      </c>
      <c r="AM12" s="117" t="s">
        <v>142</v>
      </c>
      <c r="AN12" s="293"/>
      <c r="AO12" s="316"/>
      <c r="AP12" s="316"/>
      <c r="AQ12" s="316"/>
      <c r="AR12" s="123" t="s">
        <v>1</v>
      </c>
      <c r="AS12" s="117" t="s">
        <v>142</v>
      </c>
      <c r="AT12" s="293"/>
      <c r="AU12" s="293"/>
      <c r="AV12" s="293"/>
      <c r="AW12" s="293"/>
      <c r="AX12" s="320"/>
      <c r="AY12" s="293"/>
      <c r="AZ12" s="318"/>
      <c r="BA12" s="318"/>
      <c r="BB12" s="293"/>
      <c r="BC12" s="320"/>
      <c r="BD12" s="320"/>
      <c r="BE12" s="293"/>
    </row>
    <row r="13" spans="1:66" s="2" customFormat="1" ht="50.25" customHeight="1" x14ac:dyDescent="0.25">
      <c r="A13" s="13">
        <v>1</v>
      </c>
      <c r="B13" s="13">
        <v>2</v>
      </c>
      <c r="C13" s="13">
        <v>3</v>
      </c>
      <c r="D13" s="13">
        <v>4</v>
      </c>
      <c r="E13" s="13">
        <v>5</v>
      </c>
      <c r="F13" s="13">
        <v>6</v>
      </c>
      <c r="G13" s="13" t="s">
        <v>75</v>
      </c>
      <c r="H13" s="13">
        <v>8</v>
      </c>
      <c r="I13" s="13" t="s">
        <v>76</v>
      </c>
      <c r="J13" s="14">
        <v>10</v>
      </c>
      <c r="K13" s="14" t="s">
        <v>77</v>
      </c>
      <c r="L13" s="13">
        <v>12</v>
      </c>
      <c r="M13" s="13">
        <v>13</v>
      </c>
      <c r="N13" s="13">
        <v>14</v>
      </c>
      <c r="O13" s="13">
        <v>15</v>
      </c>
      <c r="P13" s="13">
        <v>16</v>
      </c>
      <c r="Q13" s="13">
        <v>17</v>
      </c>
      <c r="R13" s="13" t="s">
        <v>78</v>
      </c>
      <c r="S13" s="13">
        <v>19</v>
      </c>
      <c r="T13" s="13" t="s">
        <v>295</v>
      </c>
      <c r="U13" s="13" t="s">
        <v>85</v>
      </c>
      <c r="V13" s="13" t="s">
        <v>86</v>
      </c>
      <c r="W13" s="13" t="s">
        <v>106</v>
      </c>
      <c r="X13" s="13" t="s">
        <v>107</v>
      </c>
      <c r="Y13" s="13">
        <v>25</v>
      </c>
      <c r="Z13" s="13" t="s">
        <v>108</v>
      </c>
      <c r="AA13" s="13" t="s">
        <v>109</v>
      </c>
      <c r="AB13" s="13" t="s">
        <v>110</v>
      </c>
      <c r="AC13" s="13" t="s">
        <v>111</v>
      </c>
      <c r="AD13" s="13" t="s">
        <v>112</v>
      </c>
      <c r="AE13" s="13">
        <v>31</v>
      </c>
      <c r="AF13" s="13" t="s">
        <v>113</v>
      </c>
      <c r="AG13" s="13" t="s">
        <v>114</v>
      </c>
      <c r="AH13" s="13">
        <v>34</v>
      </c>
      <c r="AI13" s="13" t="s">
        <v>115</v>
      </c>
      <c r="AJ13" s="13">
        <v>36</v>
      </c>
      <c r="AK13" s="13" t="s">
        <v>116</v>
      </c>
      <c r="AL13" s="13">
        <v>38</v>
      </c>
      <c r="AM13" s="13" t="s">
        <v>117</v>
      </c>
      <c r="AN13" s="13" t="s">
        <v>118</v>
      </c>
      <c r="AO13" s="14">
        <v>41</v>
      </c>
      <c r="AP13" s="14" t="s">
        <v>502</v>
      </c>
      <c r="AQ13" s="14">
        <v>43</v>
      </c>
      <c r="AR13" s="13">
        <v>44</v>
      </c>
      <c r="AS13" s="13">
        <v>45</v>
      </c>
      <c r="AT13" s="14" t="s">
        <v>503</v>
      </c>
      <c r="AU13" s="14" t="s">
        <v>504</v>
      </c>
      <c r="AV13" s="68">
        <v>48</v>
      </c>
      <c r="AW13" s="14" t="s">
        <v>505</v>
      </c>
      <c r="AX13" s="162">
        <v>50</v>
      </c>
      <c r="AY13" s="14" t="s">
        <v>506</v>
      </c>
      <c r="AZ13" s="14" t="s">
        <v>507</v>
      </c>
      <c r="BA13" s="14">
        <v>53</v>
      </c>
      <c r="BB13" s="14" t="s">
        <v>508</v>
      </c>
      <c r="BC13" s="162" t="s">
        <v>509</v>
      </c>
      <c r="BD13" s="162" t="s">
        <v>444</v>
      </c>
      <c r="BE13" s="14" t="s">
        <v>510</v>
      </c>
    </row>
    <row r="14" spans="1:66" s="157" customFormat="1" ht="25.5" x14ac:dyDescent="0.25">
      <c r="A14" s="84"/>
      <c r="B14" s="86" t="s">
        <v>318</v>
      </c>
      <c r="C14" s="84"/>
      <c r="D14" s="84"/>
      <c r="E14" s="84">
        <f>SUM(E15:E17)</f>
        <v>1</v>
      </c>
      <c r="F14" s="84">
        <f t="shared" ref="F14:BE14" si="0">SUM(F15:F17)</f>
        <v>1170</v>
      </c>
      <c r="G14" s="84">
        <f t="shared" si="0"/>
        <v>1170</v>
      </c>
      <c r="H14" s="84">
        <f t="shared" si="0"/>
        <v>0</v>
      </c>
      <c r="I14" s="84">
        <f t="shared" si="0"/>
        <v>1170</v>
      </c>
      <c r="J14" s="84"/>
      <c r="K14" s="84">
        <f t="shared" si="0"/>
        <v>234</v>
      </c>
      <c r="L14" s="163"/>
      <c r="M14" s="84">
        <f t="shared" si="0"/>
        <v>0</v>
      </c>
      <c r="N14" s="163"/>
      <c r="O14" s="84">
        <f t="shared" si="0"/>
        <v>0</v>
      </c>
      <c r="P14" s="84"/>
      <c r="Q14" s="84">
        <f t="shared" si="0"/>
        <v>0</v>
      </c>
      <c r="R14" s="84">
        <f t="shared" si="0"/>
        <v>0</v>
      </c>
      <c r="S14" s="175"/>
      <c r="T14" s="84">
        <f t="shared" si="0"/>
        <v>0</v>
      </c>
      <c r="U14" s="84">
        <f t="shared" si="0"/>
        <v>0</v>
      </c>
      <c r="V14" s="84">
        <f t="shared" si="0"/>
        <v>702</v>
      </c>
      <c r="W14" s="84">
        <f t="shared" si="0"/>
        <v>0</v>
      </c>
      <c r="X14" s="84">
        <f t="shared" si="0"/>
        <v>0</v>
      </c>
      <c r="Y14" s="84">
        <f t="shared" si="0"/>
        <v>0</v>
      </c>
      <c r="Z14" s="84">
        <f t="shared" si="0"/>
        <v>0</v>
      </c>
      <c r="AA14" s="84">
        <f t="shared" si="0"/>
        <v>0</v>
      </c>
      <c r="AB14" s="84">
        <f t="shared" si="0"/>
        <v>0</v>
      </c>
      <c r="AC14" s="84">
        <f t="shared" si="0"/>
        <v>0</v>
      </c>
      <c r="AD14" s="84">
        <f t="shared" si="0"/>
        <v>0</v>
      </c>
      <c r="AE14" s="84">
        <f t="shared" si="0"/>
        <v>0</v>
      </c>
      <c r="AF14" s="84">
        <f t="shared" si="0"/>
        <v>0</v>
      </c>
      <c r="AG14" s="84">
        <f t="shared" si="0"/>
        <v>0</v>
      </c>
      <c r="AH14" s="84">
        <f t="shared" si="0"/>
        <v>0</v>
      </c>
      <c r="AI14" s="84">
        <f t="shared" si="0"/>
        <v>0</v>
      </c>
      <c r="AJ14" s="84">
        <f t="shared" si="0"/>
        <v>0</v>
      </c>
      <c r="AK14" s="84">
        <f t="shared" si="0"/>
        <v>0</v>
      </c>
      <c r="AL14" s="84">
        <f t="shared" si="0"/>
        <v>0</v>
      </c>
      <c r="AM14" s="84">
        <f t="shared" si="0"/>
        <v>0</v>
      </c>
      <c r="AN14" s="84">
        <f t="shared" si="0"/>
        <v>0</v>
      </c>
      <c r="AO14" s="164">
        <f t="shared" si="0"/>
        <v>0</v>
      </c>
      <c r="AP14" s="84">
        <f t="shared" si="0"/>
        <v>0</v>
      </c>
      <c r="AQ14" s="84">
        <f t="shared" si="0"/>
        <v>100</v>
      </c>
      <c r="AR14" s="160">
        <f t="shared" si="0"/>
        <v>0</v>
      </c>
      <c r="AS14" s="84">
        <f t="shared" si="0"/>
        <v>0</v>
      </c>
      <c r="AT14" s="196">
        <f t="shared" si="0"/>
        <v>735.3</v>
      </c>
      <c r="AU14" s="196">
        <f t="shared" si="0"/>
        <v>2941.3</v>
      </c>
      <c r="AV14" s="196">
        <f t="shared" si="0"/>
        <v>1470.7</v>
      </c>
      <c r="AW14" s="196">
        <f t="shared" si="0"/>
        <v>735.30000000000018</v>
      </c>
      <c r="AX14" s="196">
        <f t="shared" si="0"/>
        <v>735.30000000000018</v>
      </c>
      <c r="AY14" s="196">
        <f t="shared" si="0"/>
        <v>1170</v>
      </c>
      <c r="AZ14" s="196">
        <f t="shared" si="0"/>
        <v>220.1</v>
      </c>
      <c r="BA14" s="196">
        <f>SUM(BA15:BA17)</f>
        <v>0</v>
      </c>
      <c r="BB14" s="196">
        <f>SUM(BB15:BB17)</f>
        <v>38.9</v>
      </c>
      <c r="BC14" s="196">
        <f t="shared" si="0"/>
        <v>8.8000000000000007</v>
      </c>
      <c r="BD14" s="196">
        <f t="shared" si="0"/>
        <v>1.8</v>
      </c>
      <c r="BE14" s="196">
        <f t="shared" si="0"/>
        <v>49.5</v>
      </c>
    </row>
    <row r="15" spans="1:66" s="65" customFormat="1" ht="14.45" customHeight="1" x14ac:dyDescent="0.25">
      <c r="A15" s="18">
        <v>1</v>
      </c>
      <c r="B15" s="81" t="s">
        <v>395</v>
      </c>
      <c r="C15" s="18" t="s">
        <v>511</v>
      </c>
      <c r="D15" s="18">
        <v>5</v>
      </c>
      <c r="E15" s="18">
        <v>1</v>
      </c>
      <c r="F15" s="18">
        <v>1170</v>
      </c>
      <c r="G15" s="18">
        <f>F15*E15</f>
        <v>1170</v>
      </c>
      <c r="H15" s="18"/>
      <c r="I15" s="18">
        <f>G15</f>
        <v>1170</v>
      </c>
      <c r="J15" s="103">
        <v>0.2</v>
      </c>
      <c r="K15" s="18">
        <f>I15*J15</f>
        <v>234</v>
      </c>
      <c r="L15" s="135"/>
      <c r="M15" s="18"/>
      <c r="N15" s="135"/>
      <c r="O15" s="18"/>
      <c r="P15" s="104"/>
      <c r="Q15" s="18"/>
      <c r="R15" s="18"/>
      <c r="S15" s="144"/>
      <c r="T15" s="18"/>
      <c r="U15" s="18"/>
      <c r="V15" s="18">
        <f>(I15+K15)*50%</f>
        <v>702</v>
      </c>
      <c r="W15" s="18"/>
      <c r="X15" s="18"/>
      <c r="Y15" s="144"/>
      <c r="Z15" s="18"/>
      <c r="AA15" s="18"/>
      <c r="AB15" s="18"/>
      <c r="AC15" s="18"/>
      <c r="AD15" s="18"/>
      <c r="AE15" s="18"/>
      <c r="AF15" s="18"/>
      <c r="AG15" s="18"/>
      <c r="AH15" s="103"/>
      <c r="AI15" s="18"/>
      <c r="AJ15" s="103"/>
      <c r="AK15" s="18"/>
      <c r="AL15" s="103"/>
      <c r="AM15" s="18"/>
      <c r="AN15" s="18"/>
      <c r="AO15" s="166"/>
      <c r="AP15" s="18">
        <f>ROUND(I15/169*AO15*50%,1)</f>
        <v>0</v>
      </c>
      <c r="AQ15" s="18">
        <f>100*E15</f>
        <v>100</v>
      </c>
      <c r="AR15" s="103"/>
      <c r="AS15" s="18"/>
      <c r="AT15" s="197">
        <f>ROUND((I15+K15+M15+O15+Q15+R15+T15+U15+V15+W15+X15+Z15+AA15+AB15+AC15+AD15+AE15+AF15+AG15+AI15+AK15+AM15+AN15+AP15+AQ15+AS15)*4/12,1)</f>
        <v>735.3</v>
      </c>
      <c r="AU15" s="197">
        <f>ROUND(AT15+AS15+AQ15+AP15+AN15+AM15+AK15+AI15+AG15+AF15+AE15+AD15+AC15+AB15+AA15+Z15+X15+W15+V15+U15+T15+R15+Q15+O15+M15+K15+I15,1)</f>
        <v>2941.3</v>
      </c>
      <c r="AV15" s="199">
        <f>ROUND(AU15/2,1)</f>
        <v>1470.7</v>
      </c>
      <c r="AW15" s="197">
        <f>AU15-AV15-AT15</f>
        <v>735.30000000000018</v>
      </c>
      <c r="AX15" s="198">
        <f>IF(AW15&gt;6650*E15,6650*E15,AW15)</f>
        <v>735.30000000000018</v>
      </c>
      <c r="AY15" s="197">
        <f>I15</f>
        <v>1170</v>
      </c>
      <c r="AZ15" s="197">
        <f>ROUND((AV15+AY15)/12,1)</f>
        <v>220.1</v>
      </c>
      <c r="BA15" s="197"/>
      <c r="BB15" s="197">
        <f>ROUND((AU15*12+BA15+AZ15+AY15+AW15+AV15)/1000,1)</f>
        <v>38.9</v>
      </c>
      <c r="BC15" s="197">
        <f>ROUND((BB15-AX15/1000)*23%,1)</f>
        <v>8.8000000000000007</v>
      </c>
      <c r="BD15" s="197">
        <f>ROUND(BB15*4.5%,1)</f>
        <v>1.8</v>
      </c>
      <c r="BE15" s="197">
        <f>SUM(BB15:BD15)</f>
        <v>49.5</v>
      </c>
    </row>
    <row r="16" spans="1:66" s="65" customFormat="1" x14ac:dyDescent="0.25">
      <c r="A16" s="18">
        <v>2</v>
      </c>
      <c r="B16" s="81" t="s">
        <v>319</v>
      </c>
      <c r="C16" s="18"/>
      <c r="D16" s="18"/>
      <c r="E16" s="18"/>
      <c r="F16" s="18"/>
      <c r="G16" s="18"/>
      <c r="H16" s="18"/>
      <c r="I16" s="18"/>
      <c r="J16" s="103"/>
      <c r="K16" s="18"/>
      <c r="L16" s="135"/>
      <c r="M16" s="18"/>
      <c r="N16" s="135"/>
      <c r="O16" s="18"/>
      <c r="P16" s="104"/>
      <c r="Q16" s="18"/>
      <c r="R16" s="18"/>
      <c r="S16" s="144"/>
      <c r="T16" s="18"/>
      <c r="U16" s="18"/>
      <c r="V16" s="18"/>
      <c r="W16" s="18"/>
      <c r="X16" s="18">
        <f t="shared" ref="X16:X17" si="1">I16*0.2</f>
        <v>0</v>
      </c>
      <c r="Y16" s="144"/>
      <c r="Z16" s="18"/>
      <c r="AA16" s="18"/>
      <c r="AB16" s="18"/>
      <c r="AC16" s="18"/>
      <c r="AD16" s="18"/>
      <c r="AE16" s="18"/>
      <c r="AF16" s="18"/>
      <c r="AG16" s="18"/>
      <c r="AH16" s="103"/>
      <c r="AI16" s="18"/>
      <c r="AJ16" s="103"/>
      <c r="AK16" s="18"/>
      <c r="AL16" s="103"/>
      <c r="AM16" s="18"/>
      <c r="AN16" s="18"/>
      <c r="AO16" s="166"/>
      <c r="AP16" s="18">
        <f t="shared" ref="AP16:AP23" si="2">ROUND(I16/169*AO16*50%,1)</f>
        <v>0</v>
      </c>
      <c r="AQ16" s="18">
        <f t="shared" ref="AQ16:AQ23" si="3">100*E16</f>
        <v>0</v>
      </c>
      <c r="AR16" s="103"/>
      <c r="AS16" s="18"/>
      <c r="AT16" s="197">
        <f t="shared" ref="AT16:AT17" si="4">ROUND((I16+K16+M16+O16+Q16+R16+T16+U16+V16+W16+X16+Z16+AA16+AB16+AC16+AD16+AE16+AF16+AG16+AI16+AK16+AM16+AN16+AP16+AQ16+AS16)*4/12,1)</f>
        <v>0</v>
      </c>
      <c r="AU16" s="197">
        <f t="shared" ref="AU16:AU23" si="5">ROUND(AT16+AS16+AQ16+AP16+AN16+AM16+AK16+AI16+AG16+AF16+AE16+AD16+AC16+AB16+AA16+Z16+X16+W16+V16+U16+T16+R16+Q16+O16+M16+K16+I16,1)</f>
        <v>0</v>
      </c>
      <c r="AV16" s="199">
        <f t="shared" ref="AV16:AV23" si="6">ROUND(AU16/2,1)</f>
        <v>0</v>
      </c>
      <c r="AW16" s="197">
        <f t="shared" ref="AW16:AW23" si="7">AU16-AV16-AT16</f>
        <v>0</v>
      </c>
      <c r="AX16" s="198">
        <f t="shared" ref="AX16:AX23" si="8">IF(AW16&gt;6650*E16,6650*E16,AW16)</f>
        <v>0</v>
      </c>
      <c r="AY16" s="197">
        <f t="shared" ref="AY16:AY23" si="9">I16</f>
        <v>0</v>
      </c>
      <c r="AZ16" s="197">
        <f t="shared" ref="AZ16:AZ23" si="10">ROUND((AV16+AY16)/12,1)</f>
        <v>0</v>
      </c>
      <c r="BA16" s="197"/>
      <c r="BB16" s="197">
        <f t="shared" ref="BB16:BB23" si="11">ROUND((AU16*12+BA16+AZ16+AY16+AW16+AV16)/1000,1)</f>
        <v>0</v>
      </c>
      <c r="BC16" s="197">
        <f t="shared" ref="BC16:BC23" si="12">ROUND((BB16-AX16/1000)*23%,1)</f>
        <v>0</v>
      </c>
      <c r="BD16" s="197">
        <f t="shared" ref="BD16:BD23" si="13">ROUND(BB16*4.5%,1)</f>
        <v>0</v>
      </c>
      <c r="BE16" s="197">
        <f t="shared" ref="BE16:BE23" si="14">SUM(BB16:BD16)</f>
        <v>0</v>
      </c>
    </row>
    <row r="17" spans="1:62" s="65" customFormat="1" ht="14.45" customHeight="1" x14ac:dyDescent="0.25">
      <c r="A17" s="18">
        <v>3</v>
      </c>
      <c r="B17" s="81" t="s">
        <v>319</v>
      </c>
      <c r="C17" s="18"/>
      <c r="D17" s="18"/>
      <c r="E17" s="18"/>
      <c r="F17" s="18"/>
      <c r="G17" s="18"/>
      <c r="H17" s="18"/>
      <c r="I17" s="18"/>
      <c r="J17" s="103"/>
      <c r="K17" s="18"/>
      <c r="L17" s="135"/>
      <c r="M17" s="18"/>
      <c r="N17" s="135"/>
      <c r="O17" s="18"/>
      <c r="P17" s="104"/>
      <c r="Q17" s="18"/>
      <c r="R17" s="18"/>
      <c r="S17" s="144"/>
      <c r="T17" s="18"/>
      <c r="U17" s="18"/>
      <c r="V17" s="18"/>
      <c r="W17" s="18"/>
      <c r="X17" s="18">
        <f t="shared" si="1"/>
        <v>0</v>
      </c>
      <c r="Y17" s="144"/>
      <c r="Z17" s="18"/>
      <c r="AA17" s="18"/>
      <c r="AB17" s="18"/>
      <c r="AC17" s="18"/>
      <c r="AD17" s="18"/>
      <c r="AE17" s="18"/>
      <c r="AF17" s="18"/>
      <c r="AG17" s="18"/>
      <c r="AH17" s="103"/>
      <c r="AI17" s="18"/>
      <c r="AJ17" s="103"/>
      <c r="AK17" s="18"/>
      <c r="AL17" s="103"/>
      <c r="AM17" s="18"/>
      <c r="AN17" s="18"/>
      <c r="AO17" s="166"/>
      <c r="AP17" s="18">
        <f t="shared" si="2"/>
        <v>0</v>
      </c>
      <c r="AQ17" s="18">
        <f t="shared" si="3"/>
        <v>0</v>
      </c>
      <c r="AR17" s="103"/>
      <c r="AS17" s="18"/>
      <c r="AT17" s="197">
        <f t="shared" si="4"/>
        <v>0</v>
      </c>
      <c r="AU17" s="197">
        <f t="shared" si="5"/>
        <v>0</v>
      </c>
      <c r="AV17" s="199">
        <f t="shared" si="6"/>
        <v>0</v>
      </c>
      <c r="AW17" s="197">
        <f t="shared" si="7"/>
        <v>0</v>
      </c>
      <c r="AX17" s="198">
        <f t="shared" si="8"/>
        <v>0</v>
      </c>
      <c r="AY17" s="197">
        <f t="shared" si="9"/>
        <v>0</v>
      </c>
      <c r="AZ17" s="197">
        <f t="shared" si="10"/>
        <v>0</v>
      </c>
      <c r="BA17" s="197"/>
      <c r="BB17" s="197">
        <f t="shared" si="11"/>
        <v>0</v>
      </c>
      <c r="BC17" s="197">
        <f t="shared" si="12"/>
        <v>0</v>
      </c>
      <c r="BD17" s="197">
        <f t="shared" si="13"/>
        <v>0</v>
      </c>
      <c r="BE17" s="197">
        <f t="shared" si="14"/>
        <v>0</v>
      </c>
    </row>
    <row r="18" spans="1:62" s="157" customFormat="1" ht="14.45" customHeight="1" x14ac:dyDescent="0.25">
      <c r="A18" s="84"/>
      <c r="B18" s="88" t="s">
        <v>320</v>
      </c>
      <c r="C18" s="84"/>
      <c r="D18" s="84"/>
      <c r="E18" s="84">
        <f>SUM(E19:E23)</f>
        <v>1</v>
      </c>
      <c r="F18" s="84">
        <f t="shared" ref="F18:BE18" si="15">SUM(F19:F23)</f>
        <v>1190</v>
      </c>
      <c r="G18" s="84">
        <f t="shared" si="15"/>
        <v>1190</v>
      </c>
      <c r="H18" s="84">
        <f t="shared" si="15"/>
        <v>1.1000000000000001</v>
      </c>
      <c r="I18" s="84">
        <f t="shared" si="15"/>
        <v>1309</v>
      </c>
      <c r="J18" s="84"/>
      <c r="K18" s="84">
        <f t="shared" si="15"/>
        <v>261.8</v>
      </c>
      <c r="L18" s="163"/>
      <c r="M18" s="84">
        <f t="shared" si="15"/>
        <v>0</v>
      </c>
      <c r="N18" s="163"/>
      <c r="O18" s="84">
        <f t="shared" si="15"/>
        <v>0</v>
      </c>
      <c r="P18" s="84"/>
      <c r="Q18" s="84">
        <f t="shared" si="15"/>
        <v>0</v>
      </c>
      <c r="R18" s="84">
        <f t="shared" si="15"/>
        <v>0</v>
      </c>
      <c r="S18" s="84"/>
      <c r="T18" s="84">
        <f t="shared" si="15"/>
        <v>0</v>
      </c>
      <c r="U18" s="84">
        <f t="shared" si="15"/>
        <v>0</v>
      </c>
      <c r="V18" s="84">
        <f t="shared" si="15"/>
        <v>0</v>
      </c>
      <c r="W18" s="84">
        <f t="shared" si="15"/>
        <v>0</v>
      </c>
      <c r="X18" s="84">
        <f t="shared" si="15"/>
        <v>0</v>
      </c>
      <c r="Y18" s="84">
        <f t="shared" si="15"/>
        <v>0</v>
      </c>
      <c r="Z18" s="84">
        <f t="shared" si="15"/>
        <v>0</v>
      </c>
      <c r="AA18" s="84">
        <f t="shared" si="15"/>
        <v>0</v>
      </c>
      <c r="AB18" s="84">
        <f t="shared" si="15"/>
        <v>0</v>
      </c>
      <c r="AC18" s="84">
        <f t="shared" si="15"/>
        <v>0</v>
      </c>
      <c r="AD18" s="84">
        <f t="shared" si="15"/>
        <v>0</v>
      </c>
      <c r="AE18" s="84">
        <f t="shared" si="15"/>
        <v>0</v>
      </c>
      <c r="AF18" s="84">
        <f t="shared" si="15"/>
        <v>0</v>
      </c>
      <c r="AG18" s="84">
        <f t="shared" si="15"/>
        <v>0</v>
      </c>
      <c r="AH18" s="160">
        <f t="shared" si="15"/>
        <v>0</v>
      </c>
      <c r="AI18" s="84">
        <f t="shared" si="15"/>
        <v>0</v>
      </c>
      <c r="AJ18" s="84">
        <f t="shared" si="15"/>
        <v>0</v>
      </c>
      <c r="AK18" s="84">
        <f t="shared" si="15"/>
        <v>0</v>
      </c>
      <c r="AL18" s="160">
        <f t="shared" si="15"/>
        <v>0</v>
      </c>
      <c r="AM18" s="84">
        <f t="shared" si="15"/>
        <v>0</v>
      </c>
      <c r="AN18" s="84">
        <f t="shared" si="15"/>
        <v>0</v>
      </c>
      <c r="AO18" s="164">
        <f t="shared" si="15"/>
        <v>0</v>
      </c>
      <c r="AP18" s="164">
        <f t="shared" si="15"/>
        <v>0</v>
      </c>
      <c r="AQ18" s="84">
        <f t="shared" si="15"/>
        <v>100</v>
      </c>
      <c r="AR18" s="84">
        <f t="shared" si="15"/>
        <v>0</v>
      </c>
      <c r="AS18" s="84">
        <f t="shared" si="15"/>
        <v>0</v>
      </c>
      <c r="AT18" s="196">
        <f t="shared" si="15"/>
        <v>0</v>
      </c>
      <c r="AU18" s="196">
        <f t="shared" si="15"/>
        <v>1670.8</v>
      </c>
      <c r="AV18" s="196">
        <f t="shared" si="15"/>
        <v>835.4</v>
      </c>
      <c r="AW18" s="196">
        <f t="shared" si="15"/>
        <v>835.4</v>
      </c>
      <c r="AX18" s="196">
        <f t="shared" si="15"/>
        <v>835.4</v>
      </c>
      <c r="AY18" s="196">
        <f t="shared" si="15"/>
        <v>1309</v>
      </c>
      <c r="AZ18" s="196">
        <f t="shared" si="15"/>
        <v>178.7</v>
      </c>
      <c r="BA18" s="196">
        <f>SUM(BA19:BA23)</f>
        <v>0</v>
      </c>
      <c r="BB18" s="196">
        <f t="shared" si="15"/>
        <v>23.2</v>
      </c>
      <c r="BC18" s="196">
        <f t="shared" si="15"/>
        <v>5.0999999999999996</v>
      </c>
      <c r="BD18" s="196">
        <f t="shared" si="15"/>
        <v>1</v>
      </c>
      <c r="BE18" s="196">
        <f t="shared" si="15"/>
        <v>29.299999999999997</v>
      </c>
    </row>
    <row r="19" spans="1:62" s="65" customFormat="1" ht="21" customHeight="1" x14ac:dyDescent="0.25">
      <c r="A19" s="18">
        <v>1</v>
      </c>
      <c r="B19" s="146" t="s">
        <v>395</v>
      </c>
      <c r="C19" s="18" t="s">
        <v>511</v>
      </c>
      <c r="D19" s="18">
        <v>6</v>
      </c>
      <c r="E19" s="18">
        <v>1</v>
      </c>
      <c r="F19" s="18">
        <v>1190</v>
      </c>
      <c r="G19" s="18">
        <f>F19*E19</f>
        <v>1190</v>
      </c>
      <c r="H19" s="18">
        <v>1.1000000000000001</v>
      </c>
      <c r="I19" s="18">
        <f>H19*G19</f>
        <v>1309</v>
      </c>
      <c r="J19" s="103">
        <v>0.2</v>
      </c>
      <c r="K19" s="18">
        <f>J19*I19</f>
        <v>261.8</v>
      </c>
      <c r="L19" s="135"/>
      <c r="M19" s="18"/>
      <c r="N19" s="135"/>
      <c r="O19" s="18"/>
      <c r="P19" s="104"/>
      <c r="Q19" s="18"/>
      <c r="R19" s="18"/>
      <c r="S19" s="144"/>
      <c r="T19" s="18"/>
      <c r="U19" s="18"/>
      <c r="V19" s="18"/>
      <c r="W19" s="18"/>
      <c r="X19" s="18"/>
      <c r="Y19" s="144"/>
      <c r="Z19" s="18"/>
      <c r="AA19" s="18"/>
      <c r="AB19" s="18"/>
      <c r="AC19" s="18"/>
      <c r="AD19" s="18"/>
      <c r="AE19" s="18"/>
      <c r="AF19" s="18"/>
      <c r="AG19" s="18"/>
      <c r="AH19" s="103"/>
      <c r="AI19" s="18">
        <f>I19*AH19</f>
        <v>0</v>
      </c>
      <c r="AJ19" s="103"/>
      <c r="AK19" s="18">
        <f>I19*AJ19</f>
        <v>0</v>
      </c>
      <c r="AL19" s="103"/>
      <c r="AM19" s="18">
        <f>I19*AL19</f>
        <v>0</v>
      </c>
      <c r="AN19" s="18"/>
      <c r="AO19" s="166"/>
      <c r="AP19" s="18">
        <f t="shared" si="2"/>
        <v>0</v>
      </c>
      <c r="AQ19" s="18">
        <f t="shared" si="3"/>
        <v>100</v>
      </c>
      <c r="AR19" s="103"/>
      <c r="AS19" s="18"/>
      <c r="AT19" s="197"/>
      <c r="AU19" s="197">
        <f t="shared" si="5"/>
        <v>1670.8</v>
      </c>
      <c r="AV19" s="200">
        <f t="shared" si="6"/>
        <v>835.4</v>
      </c>
      <c r="AW19" s="201">
        <f t="shared" si="7"/>
        <v>835.4</v>
      </c>
      <c r="AX19" s="198">
        <f t="shared" si="8"/>
        <v>835.4</v>
      </c>
      <c r="AY19" s="197">
        <f t="shared" si="9"/>
        <v>1309</v>
      </c>
      <c r="AZ19" s="197">
        <f t="shared" si="10"/>
        <v>178.7</v>
      </c>
      <c r="BA19" s="197"/>
      <c r="BB19" s="197">
        <f t="shared" si="11"/>
        <v>23.2</v>
      </c>
      <c r="BC19" s="197">
        <f t="shared" si="12"/>
        <v>5.0999999999999996</v>
      </c>
      <c r="BD19" s="197">
        <f t="shared" si="13"/>
        <v>1</v>
      </c>
      <c r="BE19" s="197">
        <f t="shared" si="14"/>
        <v>29.299999999999997</v>
      </c>
    </row>
    <row r="20" spans="1:62" s="65" customFormat="1" ht="14.45" customHeight="1" x14ac:dyDescent="0.25">
      <c r="A20" s="18">
        <v>2</v>
      </c>
      <c r="B20" s="81" t="s">
        <v>319</v>
      </c>
      <c r="C20" s="18"/>
      <c r="D20" s="18"/>
      <c r="E20" s="18"/>
      <c r="F20" s="18"/>
      <c r="G20" s="18"/>
      <c r="H20" s="18"/>
      <c r="I20" s="18"/>
      <c r="J20" s="103"/>
      <c r="K20" s="18"/>
      <c r="L20" s="135"/>
      <c r="M20" s="18"/>
      <c r="N20" s="135"/>
      <c r="O20" s="18"/>
      <c r="P20" s="104"/>
      <c r="Q20" s="18"/>
      <c r="R20" s="18"/>
      <c r="S20" s="144"/>
      <c r="T20" s="18"/>
      <c r="U20" s="18"/>
      <c r="V20" s="18"/>
      <c r="W20" s="18"/>
      <c r="X20" s="18"/>
      <c r="Y20" s="144"/>
      <c r="Z20" s="18"/>
      <c r="AA20" s="18"/>
      <c r="AB20" s="18"/>
      <c r="AC20" s="18"/>
      <c r="AD20" s="18"/>
      <c r="AE20" s="18"/>
      <c r="AF20" s="18"/>
      <c r="AG20" s="18"/>
      <c r="AH20" s="103"/>
      <c r="AI20" s="18">
        <f t="shared" ref="AI20:AI23" si="16">I20*AH20</f>
        <v>0</v>
      </c>
      <c r="AJ20" s="103"/>
      <c r="AK20" s="18">
        <f t="shared" ref="AK20:AK23" si="17">I20*AJ20</f>
        <v>0</v>
      </c>
      <c r="AL20" s="103"/>
      <c r="AM20" s="18">
        <f t="shared" ref="AM20:AM23" si="18">I20*AL20</f>
        <v>0</v>
      </c>
      <c r="AN20" s="18"/>
      <c r="AO20" s="166"/>
      <c r="AP20" s="18">
        <f t="shared" si="2"/>
        <v>0</v>
      </c>
      <c r="AQ20" s="18">
        <f t="shared" si="3"/>
        <v>0</v>
      </c>
      <c r="AR20" s="103"/>
      <c r="AS20" s="18"/>
      <c r="AT20" s="197"/>
      <c r="AU20" s="197">
        <f t="shared" si="5"/>
        <v>0</v>
      </c>
      <c r="AV20" s="199">
        <f t="shared" si="6"/>
        <v>0</v>
      </c>
      <c r="AW20" s="197">
        <f t="shared" si="7"/>
        <v>0</v>
      </c>
      <c r="AX20" s="198">
        <f t="shared" si="8"/>
        <v>0</v>
      </c>
      <c r="AY20" s="197">
        <f t="shared" si="9"/>
        <v>0</v>
      </c>
      <c r="AZ20" s="197">
        <f t="shared" si="10"/>
        <v>0</v>
      </c>
      <c r="BA20" s="197"/>
      <c r="BB20" s="197">
        <f t="shared" si="11"/>
        <v>0</v>
      </c>
      <c r="BC20" s="197">
        <f t="shared" si="12"/>
        <v>0</v>
      </c>
      <c r="BD20" s="197">
        <f t="shared" si="13"/>
        <v>0</v>
      </c>
      <c r="BE20" s="197">
        <f t="shared" si="14"/>
        <v>0</v>
      </c>
    </row>
    <row r="21" spans="1:62" s="65" customFormat="1" x14ac:dyDescent="0.25">
      <c r="A21" s="18">
        <v>3</v>
      </c>
      <c r="B21" s="81" t="s">
        <v>319</v>
      </c>
      <c r="C21" s="18"/>
      <c r="D21" s="18"/>
      <c r="E21" s="18"/>
      <c r="F21" s="18"/>
      <c r="G21" s="18"/>
      <c r="H21" s="18"/>
      <c r="I21" s="18"/>
      <c r="J21" s="103"/>
      <c r="K21" s="18"/>
      <c r="L21" s="135"/>
      <c r="M21" s="18"/>
      <c r="N21" s="135"/>
      <c r="O21" s="18"/>
      <c r="P21" s="104"/>
      <c r="Q21" s="18"/>
      <c r="R21" s="18"/>
      <c r="S21" s="144"/>
      <c r="T21" s="18"/>
      <c r="U21" s="18"/>
      <c r="V21" s="18"/>
      <c r="W21" s="18"/>
      <c r="X21" s="18"/>
      <c r="Y21" s="144"/>
      <c r="Z21" s="18"/>
      <c r="AA21" s="18"/>
      <c r="AB21" s="18"/>
      <c r="AC21" s="18"/>
      <c r="AD21" s="18"/>
      <c r="AE21" s="18"/>
      <c r="AF21" s="18"/>
      <c r="AG21" s="18"/>
      <c r="AH21" s="103"/>
      <c r="AI21" s="18">
        <f t="shared" si="16"/>
        <v>0</v>
      </c>
      <c r="AJ21" s="103"/>
      <c r="AK21" s="18">
        <f t="shared" si="17"/>
        <v>0</v>
      </c>
      <c r="AL21" s="103"/>
      <c r="AM21" s="18">
        <f t="shared" si="18"/>
        <v>0</v>
      </c>
      <c r="AN21" s="18"/>
      <c r="AO21" s="166"/>
      <c r="AP21" s="18">
        <f t="shared" si="2"/>
        <v>0</v>
      </c>
      <c r="AQ21" s="18">
        <f t="shared" si="3"/>
        <v>0</v>
      </c>
      <c r="AR21" s="103"/>
      <c r="AS21" s="18"/>
      <c r="AT21" s="197"/>
      <c r="AU21" s="197">
        <f t="shared" si="5"/>
        <v>0</v>
      </c>
      <c r="AV21" s="199">
        <f t="shared" si="6"/>
        <v>0</v>
      </c>
      <c r="AW21" s="197">
        <f t="shared" si="7"/>
        <v>0</v>
      </c>
      <c r="AX21" s="198">
        <f t="shared" si="8"/>
        <v>0</v>
      </c>
      <c r="AY21" s="197">
        <f t="shared" si="9"/>
        <v>0</v>
      </c>
      <c r="AZ21" s="197">
        <f t="shared" si="10"/>
        <v>0</v>
      </c>
      <c r="BA21" s="197"/>
      <c r="BB21" s="197">
        <f t="shared" si="11"/>
        <v>0</v>
      </c>
      <c r="BC21" s="197">
        <f t="shared" si="12"/>
        <v>0</v>
      </c>
      <c r="BD21" s="197">
        <f t="shared" si="13"/>
        <v>0</v>
      </c>
      <c r="BE21" s="197">
        <f t="shared" si="14"/>
        <v>0</v>
      </c>
    </row>
    <row r="22" spans="1:62" s="65" customFormat="1" x14ac:dyDescent="0.25">
      <c r="A22" s="18">
        <v>4</v>
      </c>
      <c r="B22" s="81" t="s">
        <v>319</v>
      </c>
      <c r="C22" s="18"/>
      <c r="D22" s="18"/>
      <c r="E22" s="18"/>
      <c r="F22" s="18"/>
      <c r="G22" s="18"/>
      <c r="H22" s="18"/>
      <c r="I22" s="18"/>
      <c r="J22" s="103"/>
      <c r="K22" s="18"/>
      <c r="L22" s="135"/>
      <c r="M22" s="18"/>
      <c r="N22" s="135"/>
      <c r="O22" s="18"/>
      <c r="P22" s="104"/>
      <c r="Q22" s="18"/>
      <c r="R22" s="18"/>
      <c r="S22" s="144"/>
      <c r="T22" s="18"/>
      <c r="U22" s="18"/>
      <c r="V22" s="18"/>
      <c r="W22" s="18"/>
      <c r="X22" s="18"/>
      <c r="Y22" s="144"/>
      <c r="Z22" s="18"/>
      <c r="AA22" s="18"/>
      <c r="AB22" s="18"/>
      <c r="AC22" s="18"/>
      <c r="AD22" s="18"/>
      <c r="AE22" s="18"/>
      <c r="AF22" s="18"/>
      <c r="AG22" s="18"/>
      <c r="AH22" s="103"/>
      <c r="AI22" s="18">
        <f t="shared" si="16"/>
        <v>0</v>
      </c>
      <c r="AJ22" s="103"/>
      <c r="AK22" s="18">
        <f t="shared" si="17"/>
        <v>0</v>
      </c>
      <c r="AL22" s="103"/>
      <c r="AM22" s="18">
        <f t="shared" si="18"/>
        <v>0</v>
      </c>
      <c r="AN22" s="18"/>
      <c r="AO22" s="166"/>
      <c r="AP22" s="18">
        <f t="shared" si="2"/>
        <v>0</v>
      </c>
      <c r="AQ22" s="18">
        <f t="shared" si="3"/>
        <v>0</v>
      </c>
      <c r="AR22" s="103"/>
      <c r="AS22" s="18"/>
      <c r="AT22" s="197"/>
      <c r="AU22" s="197">
        <f t="shared" si="5"/>
        <v>0</v>
      </c>
      <c r="AV22" s="199">
        <f t="shared" si="6"/>
        <v>0</v>
      </c>
      <c r="AW22" s="197">
        <f t="shared" si="7"/>
        <v>0</v>
      </c>
      <c r="AX22" s="198">
        <f t="shared" si="8"/>
        <v>0</v>
      </c>
      <c r="AY22" s="197">
        <f t="shared" si="9"/>
        <v>0</v>
      </c>
      <c r="AZ22" s="197">
        <f t="shared" si="10"/>
        <v>0</v>
      </c>
      <c r="BA22" s="197"/>
      <c r="BB22" s="197">
        <f t="shared" si="11"/>
        <v>0</v>
      </c>
      <c r="BC22" s="197">
        <f t="shared" si="12"/>
        <v>0</v>
      </c>
      <c r="BD22" s="197">
        <f t="shared" si="13"/>
        <v>0</v>
      </c>
      <c r="BE22" s="197">
        <f t="shared" si="14"/>
        <v>0</v>
      </c>
    </row>
    <row r="23" spans="1:62" s="65" customFormat="1" x14ac:dyDescent="0.25">
      <c r="A23" s="18">
        <v>5</v>
      </c>
      <c r="B23" s="81" t="s">
        <v>319</v>
      </c>
      <c r="C23" s="18"/>
      <c r="D23" s="18"/>
      <c r="E23" s="18"/>
      <c r="F23" s="18"/>
      <c r="G23" s="18"/>
      <c r="H23" s="18"/>
      <c r="I23" s="18"/>
      <c r="J23" s="103"/>
      <c r="K23" s="18"/>
      <c r="L23" s="135"/>
      <c r="M23" s="18"/>
      <c r="N23" s="145"/>
      <c r="O23" s="17"/>
      <c r="P23" s="104"/>
      <c r="Q23" s="18"/>
      <c r="R23" s="18"/>
      <c r="S23" s="144"/>
      <c r="T23" s="18"/>
      <c r="U23" s="18"/>
      <c r="V23" s="18"/>
      <c r="W23" s="18"/>
      <c r="X23" s="18"/>
      <c r="Y23" s="144"/>
      <c r="Z23" s="18"/>
      <c r="AA23" s="18"/>
      <c r="AB23" s="18"/>
      <c r="AC23" s="18"/>
      <c r="AD23" s="18"/>
      <c r="AE23" s="18"/>
      <c r="AF23" s="18"/>
      <c r="AG23" s="18"/>
      <c r="AH23" s="103"/>
      <c r="AI23" s="18">
        <f t="shared" si="16"/>
        <v>0</v>
      </c>
      <c r="AJ23" s="103"/>
      <c r="AK23" s="18">
        <f t="shared" si="17"/>
        <v>0</v>
      </c>
      <c r="AL23" s="103"/>
      <c r="AM23" s="18">
        <f t="shared" si="18"/>
        <v>0</v>
      </c>
      <c r="AN23" s="18"/>
      <c r="AO23" s="166"/>
      <c r="AP23" s="18">
        <f t="shared" si="2"/>
        <v>0</v>
      </c>
      <c r="AQ23" s="18">
        <f t="shared" si="3"/>
        <v>0</v>
      </c>
      <c r="AR23" s="103"/>
      <c r="AS23" s="18"/>
      <c r="AT23" s="197"/>
      <c r="AU23" s="197">
        <f t="shared" si="5"/>
        <v>0</v>
      </c>
      <c r="AV23" s="199">
        <f t="shared" si="6"/>
        <v>0</v>
      </c>
      <c r="AW23" s="197">
        <f t="shared" si="7"/>
        <v>0</v>
      </c>
      <c r="AX23" s="198">
        <f t="shared" si="8"/>
        <v>0</v>
      </c>
      <c r="AY23" s="197">
        <f t="shared" si="9"/>
        <v>0</v>
      </c>
      <c r="AZ23" s="197">
        <f t="shared" si="10"/>
        <v>0</v>
      </c>
      <c r="BA23" s="197"/>
      <c r="BB23" s="197">
        <f t="shared" si="11"/>
        <v>0</v>
      </c>
      <c r="BC23" s="197">
        <f t="shared" si="12"/>
        <v>0</v>
      </c>
      <c r="BD23" s="197">
        <f t="shared" si="13"/>
        <v>0</v>
      </c>
      <c r="BE23" s="197">
        <f t="shared" si="14"/>
        <v>0</v>
      </c>
    </row>
    <row r="24" spans="1:62" s="21" customFormat="1" ht="14.25" customHeight="1" x14ac:dyDescent="0.2">
      <c r="A24" s="291" t="s">
        <v>512</v>
      </c>
      <c r="B24" s="292"/>
      <c r="C24" s="292"/>
      <c r="D24" s="292"/>
      <c r="E24" s="292"/>
      <c r="F24" s="292"/>
      <c r="G24" s="292"/>
      <c r="H24" s="292"/>
      <c r="I24" s="292"/>
      <c r="J24" s="292"/>
      <c r="K24" s="292"/>
      <c r="L24" s="292"/>
      <c r="M24" s="292"/>
      <c r="N24" s="292"/>
      <c r="O24" s="292"/>
      <c r="P24" s="292"/>
      <c r="Q24" s="292"/>
      <c r="R24" s="292"/>
      <c r="S24" s="292"/>
      <c r="T24" s="292"/>
      <c r="U24" s="292"/>
      <c r="V24" s="292"/>
      <c r="W24" s="292"/>
      <c r="X24" s="108"/>
      <c r="Y24" s="20"/>
      <c r="Z24" s="108"/>
      <c r="AA24" s="20"/>
      <c r="AB24" s="20"/>
      <c r="AC24" s="109"/>
      <c r="AD24" s="108"/>
      <c r="AE24" s="20"/>
      <c r="AF24" s="106"/>
      <c r="AG24" s="20"/>
      <c r="AH24" s="110"/>
      <c r="AI24" s="111"/>
      <c r="AJ24" s="20"/>
      <c r="AK24" s="106"/>
      <c r="AL24" s="20"/>
      <c r="AM24" s="112"/>
      <c r="AN24" s="113"/>
      <c r="AO24" s="20"/>
      <c r="AP24" s="114"/>
      <c r="AQ24" s="20"/>
      <c r="AR24" s="112"/>
      <c r="AS24" s="124"/>
      <c r="AT24" s="20"/>
      <c r="AU24" s="20"/>
      <c r="AV24" s="20"/>
      <c r="AW24" s="20"/>
    </row>
    <row r="25" spans="1:62" s="21" customFormat="1" ht="14.25" customHeight="1" x14ac:dyDescent="0.2">
      <c r="A25" s="284" t="s">
        <v>513</v>
      </c>
      <c r="B25" s="284"/>
      <c r="C25" s="284"/>
      <c r="D25" s="284"/>
      <c r="E25" s="284"/>
      <c r="F25" s="284"/>
      <c r="G25" s="284"/>
      <c r="H25" s="284"/>
      <c r="I25" s="284"/>
      <c r="J25" s="284"/>
      <c r="K25" s="284"/>
      <c r="L25" s="284"/>
      <c r="M25" s="284"/>
      <c r="N25" s="284"/>
      <c r="O25" s="284"/>
      <c r="P25" s="284"/>
      <c r="Q25" s="284"/>
      <c r="R25" s="284"/>
      <c r="S25" s="284"/>
      <c r="T25" s="284"/>
      <c r="U25" s="284"/>
      <c r="V25" s="284"/>
      <c r="W25" s="284"/>
      <c r="X25" s="108"/>
      <c r="Y25" s="20"/>
      <c r="Z25" s="108"/>
      <c r="AA25" s="20"/>
      <c r="AB25" s="20"/>
      <c r="AC25" s="109"/>
      <c r="AD25" s="108"/>
      <c r="AE25" s="20"/>
      <c r="AF25" s="106"/>
      <c r="AG25" s="20"/>
      <c r="AH25" s="110"/>
      <c r="AI25" s="111"/>
      <c r="AJ25" s="20"/>
      <c r="AK25" s="106"/>
      <c r="AL25" s="20"/>
      <c r="AM25" s="112"/>
      <c r="AN25" s="113"/>
      <c r="AO25" s="20"/>
      <c r="AP25" s="114"/>
      <c r="AQ25" s="20"/>
      <c r="AR25" s="112"/>
      <c r="AS25" s="124"/>
      <c r="AT25" s="20"/>
      <c r="AU25" s="20"/>
      <c r="AV25" s="20"/>
      <c r="AW25" s="20"/>
    </row>
    <row r="26" spans="1:62" s="65" customFormat="1" x14ac:dyDescent="0.25">
      <c r="A26" s="129" t="s">
        <v>165</v>
      </c>
      <c r="B26" s="48"/>
      <c r="C26" s="48"/>
      <c r="D26" s="48"/>
      <c r="E26" s="48"/>
      <c r="F26" s="48"/>
      <c r="G26" s="48"/>
      <c r="H26" s="48"/>
      <c r="I26" s="48"/>
      <c r="J26" s="159"/>
      <c r="K26" s="48"/>
      <c r="L26" s="48"/>
      <c r="M26" s="48"/>
      <c r="N26" s="48"/>
      <c r="O26" s="48"/>
      <c r="P26" s="48"/>
      <c r="Q26" s="48"/>
      <c r="R26" s="48"/>
      <c r="S26" s="48"/>
      <c r="T26" s="48"/>
      <c r="U26" s="48"/>
      <c r="V26" s="49"/>
      <c r="W26" s="49"/>
      <c r="X26" s="49"/>
      <c r="Y26" s="49"/>
      <c r="Z26" s="49"/>
      <c r="AA26" s="49"/>
      <c r="AB26" s="20"/>
      <c r="AC26" s="20"/>
      <c r="AD26" s="20"/>
      <c r="AE26" s="20"/>
      <c r="AF26" s="20"/>
      <c r="AG26" s="20"/>
      <c r="AH26" s="20"/>
      <c r="AI26" s="20"/>
      <c r="AJ26" s="106"/>
      <c r="AK26" s="20"/>
      <c r="AL26" s="20"/>
      <c r="AM26" s="20"/>
      <c r="AN26" s="21"/>
      <c r="AO26" s="21"/>
      <c r="AP26" s="21"/>
      <c r="AQ26" s="21"/>
      <c r="AR26" s="176"/>
      <c r="AS26" s="21"/>
      <c r="AT26" s="21"/>
      <c r="AU26" s="19"/>
      <c r="AV26" s="20"/>
      <c r="AW26" s="20"/>
      <c r="AX26" s="124"/>
      <c r="AY26" s="124"/>
      <c r="AZ26" s="124"/>
      <c r="BA26" s="124"/>
      <c r="BB26" s="21"/>
      <c r="BC26" s="37"/>
      <c r="BD26" s="20"/>
      <c r="BE26" s="20"/>
    </row>
    <row r="27" spans="1:62" s="20" customFormat="1" ht="16.5" customHeight="1" x14ac:dyDescent="0.2">
      <c r="A27" s="285" t="s">
        <v>514</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119"/>
      <c r="Z27" s="119"/>
      <c r="AA27" s="119"/>
      <c r="AB27" s="119"/>
      <c r="AC27" s="119"/>
      <c r="AD27" s="119"/>
      <c r="AE27" s="119"/>
      <c r="AF27" s="119"/>
      <c r="AG27" s="19"/>
      <c r="AH27" s="19"/>
      <c r="AI27" s="19"/>
      <c r="AJ27" s="19"/>
      <c r="AK27" s="19"/>
      <c r="AL27" s="19"/>
      <c r="AM27" s="19"/>
      <c r="AT27" s="38"/>
      <c r="AV27" s="22"/>
      <c r="AW27" s="23"/>
      <c r="AX27" s="23"/>
      <c r="AY27" s="23"/>
      <c r="AZ27" s="23"/>
      <c r="BA27" s="23"/>
      <c r="BB27" s="19"/>
      <c r="BC27" s="19"/>
      <c r="BD27" s="19"/>
      <c r="BE27" s="19"/>
      <c r="BF27" s="19"/>
      <c r="BG27" s="19"/>
      <c r="BH27" s="19"/>
      <c r="BI27" s="19"/>
      <c r="BJ27" s="19"/>
    </row>
    <row r="28" spans="1:62" s="20" customFormat="1" ht="16.5" customHeight="1" x14ac:dyDescent="0.2">
      <c r="A28" s="286" t="s">
        <v>408</v>
      </c>
      <c r="B28" s="286"/>
      <c r="C28" s="286"/>
      <c r="D28" s="286"/>
      <c r="E28" s="286"/>
      <c r="F28" s="286"/>
      <c r="G28" s="286"/>
      <c r="H28" s="286"/>
      <c r="I28" s="286"/>
      <c r="J28" s="286"/>
      <c r="K28" s="286"/>
      <c r="L28" s="286"/>
      <c r="M28" s="286"/>
      <c r="N28" s="286"/>
      <c r="O28" s="286"/>
      <c r="P28" s="286"/>
      <c r="Q28" s="286"/>
      <c r="R28" s="286"/>
      <c r="S28" s="286"/>
      <c r="T28" s="286"/>
      <c r="U28" s="286"/>
      <c r="V28" s="286"/>
      <c r="W28" s="286"/>
      <c r="X28" s="286"/>
      <c r="Y28" s="119"/>
      <c r="Z28" s="119"/>
      <c r="AA28" s="119"/>
      <c r="AB28" s="119"/>
      <c r="AC28" s="119"/>
      <c r="AD28" s="119"/>
      <c r="AE28" s="119"/>
      <c r="AF28" s="119"/>
      <c r="AG28" s="19"/>
      <c r="AH28" s="19"/>
      <c r="AI28" s="19"/>
      <c r="AJ28" s="19"/>
      <c r="AK28" s="19"/>
      <c r="AL28" s="19"/>
      <c r="AM28" s="19"/>
      <c r="AT28" s="38"/>
      <c r="AV28" s="22"/>
      <c r="AW28" s="23"/>
      <c r="AX28" s="23"/>
      <c r="AY28" s="23"/>
      <c r="AZ28" s="23"/>
      <c r="BA28" s="23"/>
      <c r="BB28" s="19"/>
      <c r="BC28" s="19"/>
      <c r="BD28" s="19"/>
      <c r="BE28" s="19"/>
      <c r="BF28" s="19"/>
      <c r="BG28" s="19"/>
      <c r="BH28" s="19"/>
      <c r="BI28" s="19"/>
      <c r="BJ28" s="19"/>
    </row>
    <row r="29" spans="1:62" s="21" customFormat="1" ht="12.75" customHeight="1" x14ac:dyDescent="0.2">
      <c r="A29" s="286"/>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0"/>
      <c r="Z29" s="20"/>
      <c r="AA29" s="20"/>
      <c r="AB29" s="20"/>
      <c r="AC29" s="20"/>
      <c r="AD29" s="20"/>
      <c r="AE29" s="20"/>
    </row>
    <row r="30" spans="1:62" s="21" customFormat="1" ht="27.75" customHeight="1" x14ac:dyDescent="0.2">
      <c r="A30" s="286" t="s">
        <v>515</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0"/>
      <c r="Z30" s="20"/>
      <c r="AA30" s="20"/>
      <c r="AB30" s="20"/>
      <c r="AC30" s="20"/>
      <c r="AD30" s="20"/>
      <c r="AE30" s="20"/>
    </row>
    <row r="31" spans="1:62" s="21" customFormat="1" ht="12" customHeight="1" x14ac:dyDescent="0.2">
      <c r="A31" s="286"/>
      <c r="B31" s="286"/>
      <c r="C31" s="286"/>
      <c r="D31" s="286"/>
      <c r="E31" s="286"/>
      <c r="F31" s="286"/>
      <c r="G31" s="286"/>
      <c r="H31" s="286"/>
      <c r="I31" s="286"/>
      <c r="J31" s="286"/>
      <c r="K31" s="286"/>
      <c r="L31" s="286"/>
      <c r="M31" s="286"/>
      <c r="N31" s="286"/>
      <c r="O31" s="286"/>
      <c r="P31" s="286"/>
      <c r="Q31" s="286"/>
      <c r="R31" s="286"/>
      <c r="S31" s="286"/>
      <c r="T31" s="286"/>
      <c r="U31" s="286"/>
      <c r="V31" s="286"/>
      <c r="W31" s="286"/>
      <c r="X31" s="286"/>
      <c r="Y31" s="20"/>
      <c r="Z31" s="20"/>
      <c r="AA31" s="20"/>
      <c r="AB31" s="20"/>
      <c r="AC31" s="20"/>
      <c r="AD31" s="20"/>
      <c r="AE31" s="20"/>
    </row>
    <row r="32" spans="1:62" s="181" customFormat="1" ht="17.25" customHeight="1" x14ac:dyDescent="0.25">
      <c r="A32" s="298" t="s">
        <v>542</v>
      </c>
      <c r="B32" s="298"/>
      <c r="C32" s="298"/>
      <c r="D32" s="298"/>
      <c r="E32" s="298"/>
      <c r="F32" s="298"/>
      <c r="G32" s="304"/>
      <c r="H32" s="304"/>
      <c r="I32" s="304"/>
      <c r="J32" s="304"/>
      <c r="K32" s="180"/>
      <c r="L32" s="48"/>
      <c r="M32" s="48"/>
      <c r="N32" s="48"/>
      <c r="O32" s="299"/>
      <c r="P32" s="299"/>
      <c r="Q32" s="299"/>
      <c r="R32" s="179"/>
      <c r="S32" s="179"/>
      <c r="T32" s="179"/>
      <c r="U32" s="179"/>
      <c r="V32" s="179"/>
      <c r="W32" s="179"/>
      <c r="X32" s="179"/>
    </row>
    <row r="33" spans="1:63" s="181" customFormat="1" ht="16.899999999999999" customHeight="1" x14ac:dyDescent="0.25">
      <c r="A33" s="179"/>
      <c r="B33" s="179"/>
      <c r="C33" s="179"/>
      <c r="D33" s="179"/>
      <c r="E33" s="179"/>
      <c r="F33" s="179"/>
      <c r="G33" s="301" t="s">
        <v>538</v>
      </c>
      <c r="H33" s="301"/>
      <c r="I33" s="301"/>
      <c r="J33" s="301"/>
      <c r="K33" s="179"/>
      <c r="L33" s="179"/>
      <c r="M33" s="179"/>
      <c r="N33" s="179"/>
      <c r="O33" s="301" t="s">
        <v>539</v>
      </c>
      <c r="P33" s="301"/>
      <c r="Q33" s="301"/>
      <c r="R33" s="179"/>
      <c r="S33" s="179"/>
      <c r="T33" s="179"/>
      <c r="U33" s="179"/>
      <c r="V33" s="179"/>
      <c r="W33" s="179"/>
      <c r="X33" s="179"/>
    </row>
    <row r="34" spans="1:63" customFormat="1" ht="18.75" customHeight="1" x14ac:dyDescent="0.25">
      <c r="A34" s="298" t="s">
        <v>540</v>
      </c>
      <c r="B34" s="298"/>
      <c r="C34" s="298"/>
      <c r="D34" s="298"/>
      <c r="E34" s="298"/>
      <c r="F34" s="298"/>
      <c r="G34" s="299"/>
      <c r="H34" s="299"/>
      <c r="I34" s="299"/>
      <c r="J34" s="299"/>
      <c r="K34" s="182"/>
      <c r="L34" s="299"/>
      <c r="M34" s="299"/>
      <c r="N34" s="299"/>
      <c r="O34" s="299"/>
      <c r="P34" s="183"/>
      <c r="Q34" s="300"/>
      <c r="R34" s="300"/>
      <c r="S34" s="300"/>
      <c r="T34" s="300"/>
      <c r="U34" s="178"/>
      <c r="V34" s="178"/>
      <c r="W34" s="178"/>
      <c r="X34" s="178"/>
      <c r="Y34" s="178"/>
      <c r="Z34" s="178"/>
    </row>
    <row r="35" spans="1:63" customFormat="1" ht="15" customHeight="1" x14ac:dyDescent="0.25">
      <c r="A35" s="184"/>
      <c r="B35" s="184"/>
      <c r="C35" s="184"/>
      <c r="D35" s="184"/>
      <c r="E35" s="78"/>
      <c r="F35" s="78"/>
      <c r="G35" s="301" t="s">
        <v>538</v>
      </c>
      <c r="H35" s="301"/>
      <c r="I35" s="301"/>
      <c r="J35" s="301"/>
      <c r="K35" s="185"/>
      <c r="L35" s="302" t="s">
        <v>304</v>
      </c>
      <c r="M35" s="302"/>
      <c r="N35" s="302"/>
      <c r="O35" s="302"/>
      <c r="P35" s="138"/>
      <c r="Q35" s="303" t="s">
        <v>541</v>
      </c>
      <c r="R35" s="303"/>
      <c r="S35" s="303"/>
      <c r="T35" s="303"/>
      <c r="U35" s="178"/>
      <c r="V35" s="178"/>
      <c r="W35" s="178"/>
      <c r="X35" s="178"/>
      <c r="Y35" s="178"/>
      <c r="Z35" s="178"/>
    </row>
    <row r="36" spans="1:63" s="21" customFormat="1" ht="12.75" x14ac:dyDescent="0.2"/>
    <row r="37" spans="1:63" s="1" customFormat="1" ht="17.25" x14ac:dyDescent="0.3">
      <c r="A37" s="21"/>
      <c r="B37" s="21"/>
      <c r="C37" s="21"/>
      <c r="D37" s="21"/>
      <c r="E37" s="21"/>
      <c r="F37" s="21"/>
      <c r="G37" s="21"/>
      <c r="H37" s="21"/>
      <c r="I37" s="21"/>
      <c r="J37" s="21"/>
      <c r="K37" s="21"/>
      <c r="L37" s="21"/>
      <c r="M37" s="21"/>
      <c r="N37" s="21"/>
      <c r="O37" s="21"/>
      <c r="P37" s="21"/>
      <c r="Q37" s="21"/>
      <c r="R37" s="20"/>
      <c r="S37" s="20"/>
      <c r="T37" s="21"/>
      <c r="U37" s="21"/>
      <c r="V37" s="21"/>
      <c r="W37" s="21"/>
      <c r="X37" s="21"/>
      <c r="Y37" s="21"/>
      <c r="Z37" s="20"/>
      <c r="AA37" s="20"/>
      <c r="AB37" s="21"/>
      <c r="AC37" s="21"/>
      <c r="AD37" s="21"/>
      <c r="AE37" s="21"/>
      <c r="AF37" s="20"/>
      <c r="AG37" s="21"/>
      <c r="AH37" s="21"/>
      <c r="AI37" s="21"/>
      <c r="AJ37" s="21"/>
      <c r="AK37" s="21"/>
      <c r="AL37" s="21"/>
      <c r="AM37" s="21"/>
      <c r="AN37" s="20"/>
      <c r="AO37" s="21"/>
      <c r="AP37" s="21"/>
      <c r="AQ37" s="21"/>
      <c r="AR37" s="21"/>
      <c r="AS37" s="21"/>
      <c r="AT37" s="21"/>
      <c r="AU37" s="21"/>
      <c r="AV37" s="21"/>
      <c r="AW37" s="21"/>
      <c r="AX37" s="21"/>
      <c r="AY37" s="21"/>
      <c r="AZ37" s="21"/>
      <c r="BA37" s="21"/>
      <c r="BB37" s="21"/>
      <c r="BC37" s="8"/>
      <c r="BD37" s="8"/>
      <c r="BE37" s="8"/>
      <c r="BF37" s="8"/>
      <c r="BG37" s="8"/>
      <c r="BH37" s="8"/>
      <c r="BI37" s="8"/>
      <c r="BJ37" s="8"/>
      <c r="BK37" s="8"/>
    </row>
    <row r="38" spans="1:63" s="1" customFormat="1" ht="17.25" x14ac:dyDescent="0.3">
      <c r="A38" s="21"/>
      <c r="B38" s="21"/>
      <c r="C38" s="21"/>
      <c r="D38" s="21"/>
      <c r="E38" s="21"/>
      <c r="F38" s="21"/>
      <c r="G38" s="21"/>
      <c r="H38" s="21"/>
      <c r="I38" s="21"/>
      <c r="J38" s="21"/>
      <c r="K38" s="21"/>
      <c r="L38" s="21"/>
      <c r="M38" s="21"/>
      <c r="N38" s="21"/>
      <c r="O38" s="21"/>
      <c r="P38" s="21"/>
      <c r="Q38" s="21"/>
      <c r="R38" s="20"/>
      <c r="S38" s="20"/>
      <c r="T38" s="21"/>
      <c r="U38" s="21"/>
      <c r="V38" s="21"/>
      <c r="W38" s="21"/>
      <c r="X38" s="21"/>
      <c r="Y38" s="21"/>
      <c r="Z38" s="20"/>
      <c r="AA38" s="20"/>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8"/>
      <c r="BD38" s="8"/>
      <c r="BE38" s="8"/>
      <c r="BF38" s="8"/>
      <c r="BG38" s="8"/>
      <c r="BH38" s="8"/>
      <c r="BI38" s="8"/>
      <c r="BJ38" s="8"/>
      <c r="BK38" s="8"/>
    </row>
  </sheetData>
  <mergeCells count="77">
    <mergeCell ref="I7:I12"/>
    <mergeCell ref="G35:J35"/>
    <mergeCell ref="L35:O35"/>
    <mergeCell ref="Q35:T35"/>
    <mergeCell ref="G32:J32"/>
    <mergeCell ref="O32:Q32"/>
    <mergeCell ref="G33:J33"/>
    <mergeCell ref="O33:Q33"/>
    <mergeCell ref="AQ7:AQ12"/>
    <mergeCell ref="A34:F34"/>
    <mergeCell ref="G34:J34"/>
    <mergeCell ref="L34:O34"/>
    <mergeCell ref="Q34:T34"/>
    <mergeCell ref="AH7:AI11"/>
    <mergeCell ref="B7:B12"/>
    <mergeCell ref="C7:C12"/>
    <mergeCell ref="D7:D12"/>
    <mergeCell ref="AA7:AA12"/>
    <mergeCell ref="H7:H12"/>
    <mergeCell ref="F10:F12"/>
    <mergeCell ref="G10:G12"/>
    <mergeCell ref="W8:W12"/>
    <mergeCell ref="E7:E12"/>
    <mergeCell ref="F7:G9"/>
    <mergeCell ref="AY7:AY12"/>
    <mergeCell ref="AU7:AU12"/>
    <mergeCell ref="AW7:AX8"/>
    <mergeCell ref="AR7:AS11"/>
    <mergeCell ref="AT7:AT12"/>
    <mergeCell ref="B4:C4"/>
    <mergeCell ref="E4:I4"/>
    <mergeCell ref="K4:K5"/>
    <mergeCell ref="E5:I5"/>
    <mergeCell ref="A30:X30"/>
    <mergeCell ref="R7:R12"/>
    <mergeCell ref="S7:T11"/>
    <mergeCell ref="U7:X7"/>
    <mergeCell ref="A24:W24"/>
    <mergeCell ref="A25:W25"/>
    <mergeCell ref="A27:X27"/>
    <mergeCell ref="A28:X29"/>
    <mergeCell ref="J7:K11"/>
    <mergeCell ref="L7:M11"/>
    <mergeCell ref="N7:O11"/>
    <mergeCell ref="P7:Q10"/>
    <mergeCell ref="N1:AG1"/>
    <mergeCell ref="I2:AJ2"/>
    <mergeCell ref="AO7:AP9"/>
    <mergeCell ref="AO10:AO12"/>
    <mergeCell ref="AP10:AP12"/>
    <mergeCell ref="P11:P12"/>
    <mergeCell ref="Q11:Q12"/>
    <mergeCell ref="U8:U12"/>
    <mergeCell ref="V8:V12"/>
    <mergeCell ref="X8:X12"/>
    <mergeCell ref="AB7:AB12"/>
    <mergeCell ref="AF7:AF12"/>
    <mergeCell ref="AG7:AG12"/>
    <mergeCell ref="Y7:Z11"/>
    <mergeCell ref="AJ7:AK11"/>
    <mergeCell ref="AL7:AM11"/>
    <mergeCell ref="A32:F32"/>
    <mergeCell ref="BC7:BC12"/>
    <mergeCell ref="BD7:BD12"/>
    <mergeCell ref="BE7:BE12"/>
    <mergeCell ref="AW9:AW12"/>
    <mergeCell ref="AX9:AX12"/>
    <mergeCell ref="BB7:BB12"/>
    <mergeCell ref="BA7:BA12"/>
    <mergeCell ref="A31:X31"/>
    <mergeCell ref="A7:A12"/>
    <mergeCell ref="AZ7:AZ12"/>
    <mergeCell ref="AC7:AC12"/>
    <mergeCell ref="AD7:AD12"/>
    <mergeCell ref="AE7:AE12"/>
    <mergeCell ref="AN7:AN12"/>
    <mergeCell ref="AV7:AV12"/>
  </mergeCells>
  <dataValidations count="2">
    <dataValidation type="custom" allowBlank="1" showInputMessage="1" showErrorMessage="1" error="Cuantumul plăţilor cu caracter stimulator din contul veniturilor colectate plătite lunar unui angajat nu va depăşi salariul lui de funcţie, ţinîndu-se cont de sporul pentru vechime în muncă." sqref="BA15:BA17 BA19:BA23">
      <formula1>(I15+K15)*12&gt;=BA15</formula1>
    </dataValidation>
    <dataValidation type="custom" allowBlank="1" showInputMessage="1" showErrorMessage="1" sqref="BA14">
      <formula1>(I15+K15)*12&lt;=BA12</formula1>
    </dataValidation>
  </dataValidations>
  <printOptions horizontalCentered="1"/>
  <pageMargins left="0" right="0" top="0" bottom="0" header="0.31496062992126" footer="0.31496062992126"/>
  <pageSetup paperSize="8" scale="65" fitToHeight="80" orientation="landscape" r:id="rId1"/>
  <headerFooter>
    <oddHeader>&amp;R&amp;10Tabelul nr.3</oddHeader>
    <oddFooter>&amp;R&amp;"-,полужирный"&amp;8&amp;P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F36"/>
  <sheetViews>
    <sheetView showZeros="0" view="pageBreakPreview" zoomScale="60" zoomScaleNormal="71" workbookViewId="0">
      <pane xSplit="2" ySplit="11" topLeftCell="C12" activePane="bottomRight" state="frozen"/>
      <selection pane="topRight" activeCell="C1" sqref="C1"/>
      <selection pane="bottomLeft" activeCell="A12" sqref="A12"/>
      <selection pane="bottomRight" activeCell="M14" sqref="M14"/>
    </sheetView>
  </sheetViews>
  <sheetFormatPr defaultColWidth="8.85546875" defaultRowHeight="15" x14ac:dyDescent="0.25"/>
  <cols>
    <col min="1" max="1" width="6.140625" style="21" customWidth="1"/>
    <col min="2" max="2" width="16" style="21" customWidth="1"/>
    <col min="3" max="3" width="16.5703125" style="21" customWidth="1"/>
    <col min="4" max="4" width="5.5703125" style="21" customWidth="1"/>
    <col min="5" max="5" width="8.28515625" style="21" customWidth="1"/>
    <col min="6" max="6" width="9.5703125" style="21" customWidth="1"/>
    <col min="7" max="7" width="5.7109375" style="21" customWidth="1"/>
    <col min="8" max="8" width="7.7109375" style="21" customWidth="1"/>
    <col min="9" max="9" width="8.5703125" style="21" customWidth="1"/>
    <col min="10" max="10" width="8.140625" style="21" customWidth="1"/>
    <col min="11" max="11" width="7.7109375" style="21" customWidth="1"/>
    <col min="12" max="12" width="7.85546875" style="21" customWidth="1"/>
    <col min="13" max="13" width="12.7109375" style="21" customWidth="1"/>
    <col min="14" max="14" width="7.140625" style="21" customWidth="1"/>
    <col min="15" max="15" width="6.28515625" style="21" customWidth="1"/>
    <col min="16" max="16" width="7.28515625" style="21" customWidth="1"/>
    <col min="17" max="17" width="15.42578125" style="21" customWidth="1"/>
    <col min="18" max="18" width="11.28515625" style="21" customWidth="1"/>
    <col min="19" max="19" width="20.28515625" style="21" customWidth="1"/>
    <col min="20" max="20" width="11.42578125" style="21" customWidth="1"/>
    <col min="21" max="21" width="19" style="21" customWidth="1"/>
    <col min="22" max="22" width="13.42578125" style="21" customWidth="1"/>
    <col min="23" max="23" width="6.28515625" style="21" customWidth="1"/>
    <col min="24" max="24" width="9.7109375" style="21" customWidth="1"/>
    <col min="25" max="25" width="9.42578125" style="21" customWidth="1"/>
    <col min="26" max="26" width="11.85546875" style="21" customWidth="1"/>
    <col min="27" max="27" width="9.7109375" style="21" customWidth="1"/>
    <col min="28" max="28" width="13.28515625" style="21" customWidth="1"/>
    <col min="29" max="31" width="10.5703125" style="21" customWidth="1"/>
    <col min="32" max="32" width="14.7109375" style="21" customWidth="1"/>
    <col min="33" max="33" width="11.28515625" style="21" customWidth="1"/>
    <col min="34" max="34" width="11.42578125" style="21" customWidth="1"/>
    <col min="35" max="35" width="13.7109375" style="21" customWidth="1"/>
    <col min="36" max="16384" width="8.85546875" style="8"/>
  </cols>
  <sheetData>
    <row r="1" spans="1:41" s="65" customFormat="1" ht="57" customHeight="1" x14ac:dyDescent="0.35">
      <c r="A1" s="21"/>
      <c r="B1" s="44"/>
      <c r="C1" s="44"/>
      <c r="D1" s="287" t="s">
        <v>545</v>
      </c>
      <c r="E1" s="287"/>
      <c r="F1" s="287"/>
      <c r="G1" s="287"/>
      <c r="H1" s="287"/>
      <c r="I1" s="287"/>
      <c r="J1" s="287"/>
      <c r="K1" s="287"/>
      <c r="L1" s="287"/>
      <c r="M1" s="287"/>
      <c r="N1" s="287"/>
      <c r="O1" s="287"/>
      <c r="P1" s="287"/>
      <c r="Q1" s="287"/>
      <c r="R1" s="287"/>
      <c r="S1" s="287"/>
      <c r="T1" s="287"/>
      <c r="U1" s="287"/>
      <c r="V1" s="287"/>
      <c r="W1" s="287"/>
      <c r="X1" s="287"/>
      <c r="Y1" s="287"/>
      <c r="Z1" s="287"/>
      <c r="AA1" s="287"/>
      <c r="AB1" s="45"/>
      <c r="AC1" s="45"/>
      <c r="AD1" s="45"/>
      <c r="AE1" s="45"/>
      <c r="AF1" s="45"/>
      <c r="AG1" s="45"/>
      <c r="AH1" s="45"/>
      <c r="AI1" s="45"/>
      <c r="AJ1" s="9"/>
      <c r="AK1" s="9"/>
      <c r="AL1" s="9"/>
      <c r="AM1" s="9"/>
      <c r="AN1" s="9"/>
      <c r="AO1" s="9"/>
    </row>
    <row r="2" spans="1:41" s="7" customFormat="1" ht="16.899999999999999" customHeight="1" x14ac:dyDescent="0.2">
      <c r="A2" s="21"/>
      <c r="B2" s="44"/>
      <c r="C2" s="44"/>
      <c r="D2" s="330" t="s">
        <v>141</v>
      </c>
      <c r="E2" s="330"/>
      <c r="F2" s="330"/>
      <c r="G2" s="330"/>
      <c r="H2" s="330"/>
      <c r="I2" s="330"/>
      <c r="J2" s="330"/>
      <c r="K2" s="330"/>
      <c r="L2" s="330"/>
      <c r="M2" s="330"/>
      <c r="N2" s="330"/>
      <c r="O2" s="330"/>
      <c r="P2" s="330"/>
      <c r="Q2" s="330"/>
      <c r="R2" s="330"/>
      <c r="S2" s="330"/>
      <c r="T2" s="330"/>
      <c r="U2" s="330"/>
      <c r="V2" s="330"/>
      <c r="W2" s="330"/>
      <c r="X2" s="330"/>
      <c r="Y2" s="330"/>
      <c r="Z2" s="51"/>
      <c r="AA2" s="51"/>
      <c r="AB2" s="51"/>
      <c r="AC2" s="51"/>
      <c r="AD2" s="51"/>
      <c r="AE2" s="51"/>
      <c r="AF2" s="51"/>
      <c r="AG2" s="51"/>
      <c r="AH2" s="51"/>
      <c r="AI2" s="51"/>
      <c r="AJ2" s="12"/>
      <c r="AK2" s="12"/>
      <c r="AL2" s="12"/>
      <c r="AM2" s="12"/>
      <c r="AN2" s="12"/>
      <c r="AO2" s="12"/>
    </row>
    <row r="3" spans="1:41" s="5" customFormat="1" ht="16.899999999999999" customHeight="1" x14ac:dyDescent="0.25">
      <c r="A3" s="41"/>
      <c r="B3" s="41"/>
      <c r="C3" s="41"/>
      <c r="D3" s="41"/>
      <c r="E3" s="41"/>
      <c r="F3" s="41"/>
      <c r="G3" s="41"/>
      <c r="H3" s="41"/>
      <c r="I3" s="41"/>
      <c r="J3" s="41"/>
      <c r="K3" s="41"/>
      <c r="L3" s="41"/>
      <c r="M3" s="41"/>
      <c r="N3" s="41"/>
      <c r="O3" s="41"/>
      <c r="P3" s="41"/>
      <c r="Q3" s="41"/>
      <c r="R3" s="41"/>
      <c r="S3" s="41"/>
      <c r="T3" s="41"/>
      <c r="U3" s="98"/>
      <c r="V3" s="21"/>
      <c r="W3" s="20"/>
      <c r="X3" s="20"/>
      <c r="Y3" s="19"/>
      <c r="Z3" s="19"/>
      <c r="AA3" s="20"/>
      <c r="AB3" s="19"/>
      <c r="AC3" s="20"/>
      <c r="AD3" s="19"/>
      <c r="AE3" s="19"/>
      <c r="AF3" s="20"/>
      <c r="AG3" s="19"/>
      <c r="AH3" s="20"/>
      <c r="AI3" s="100"/>
    </row>
    <row r="4" spans="1:41" s="5" customFormat="1" ht="16.899999999999999" customHeight="1" x14ac:dyDescent="0.25">
      <c r="A4" s="41"/>
      <c r="B4" s="289" t="s">
        <v>307</v>
      </c>
      <c r="C4" s="289"/>
      <c r="D4" s="79"/>
      <c r="E4" s="289" t="s">
        <v>308</v>
      </c>
      <c r="F4" s="289"/>
      <c r="G4" s="289"/>
      <c r="H4" s="289"/>
      <c r="I4" s="289"/>
      <c r="J4" s="75"/>
      <c r="K4" s="296" t="s">
        <v>164</v>
      </c>
      <c r="L4" s="80" t="s">
        <v>309</v>
      </c>
      <c r="M4" s="80" t="s">
        <v>310</v>
      </c>
      <c r="N4" s="80" t="s">
        <v>311</v>
      </c>
      <c r="O4" s="80" t="s">
        <v>312</v>
      </c>
      <c r="P4" s="80" t="s">
        <v>313</v>
      </c>
      <c r="Q4" s="41"/>
      <c r="R4" s="41"/>
      <c r="S4" s="41"/>
      <c r="T4" s="41"/>
      <c r="U4" s="98"/>
      <c r="V4" s="21"/>
      <c r="W4" s="20"/>
      <c r="X4" s="20"/>
      <c r="Y4" s="19"/>
      <c r="Z4" s="19"/>
      <c r="AA4" s="20"/>
      <c r="AB4" s="19"/>
      <c r="AC4" s="20"/>
      <c r="AD4" s="19"/>
      <c r="AE4" s="19"/>
      <c r="AF4" s="20"/>
      <c r="AG4" s="19"/>
      <c r="AH4" s="20"/>
      <c r="AI4" s="100"/>
    </row>
    <row r="5" spans="1:41" s="5" customFormat="1" ht="15.75" x14ac:dyDescent="0.25">
      <c r="A5" s="32"/>
      <c r="B5" s="32"/>
      <c r="C5" s="32"/>
      <c r="D5" s="32"/>
      <c r="E5" s="290" t="s">
        <v>314</v>
      </c>
      <c r="F5" s="290"/>
      <c r="G5" s="290"/>
      <c r="H5" s="290"/>
      <c r="I5" s="290"/>
      <c r="J5" s="32"/>
      <c r="K5" s="296"/>
      <c r="L5" s="81"/>
      <c r="M5" s="81"/>
      <c r="N5" s="81"/>
      <c r="O5" s="81"/>
      <c r="P5" s="81"/>
      <c r="Q5" s="20"/>
      <c r="R5" s="20"/>
      <c r="S5" s="33"/>
      <c r="T5" s="21"/>
      <c r="U5" s="20"/>
      <c r="V5" s="21"/>
      <c r="W5" s="20"/>
      <c r="X5" s="97"/>
      <c r="Y5" s="20"/>
      <c r="Z5" s="20"/>
      <c r="AA5" s="20"/>
      <c r="AB5" s="20"/>
      <c r="AC5" s="20"/>
      <c r="AD5" s="20"/>
      <c r="AE5" s="20"/>
      <c r="AF5" s="20"/>
      <c r="AG5" s="20"/>
      <c r="AH5" s="20"/>
      <c r="AI5" s="33"/>
    </row>
    <row r="6" spans="1:41" s="65" customFormat="1" ht="15" customHeight="1" x14ac:dyDescent="0.25">
      <c r="A6" s="32"/>
      <c r="B6" s="32"/>
      <c r="C6" s="32"/>
      <c r="D6" s="32"/>
      <c r="E6" s="32"/>
      <c r="F6" s="32"/>
      <c r="G6" s="32"/>
      <c r="H6" s="34"/>
      <c r="I6" s="34"/>
      <c r="J6" s="34"/>
      <c r="K6" s="34"/>
      <c r="L6" s="34"/>
      <c r="M6" s="32"/>
      <c r="N6" s="32"/>
      <c r="O6" s="34"/>
      <c r="P6" s="34"/>
      <c r="Q6" s="32"/>
      <c r="R6" s="32"/>
      <c r="S6" s="32"/>
      <c r="T6" s="32"/>
      <c r="U6" s="32"/>
      <c r="V6" s="34"/>
      <c r="W6" s="32"/>
      <c r="X6" s="32"/>
      <c r="Y6" s="21"/>
      <c r="Z6" s="32"/>
      <c r="AA6" s="32"/>
      <c r="AB6" s="32"/>
      <c r="AC6" s="32"/>
      <c r="AD6" s="32"/>
      <c r="AE6" s="32"/>
      <c r="AF6" s="32"/>
      <c r="AG6" s="32"/>
      <c r="AH6" s="32"/>
      <c r="AI6" s="32"/>
    </row>
    <row r="7" spans="1:41" s="65" customFormat="1" ht="53.25" customHeight="1" x14ac:dyDescent="0.25">
      <c r="A7" s="293" t="s">
        <v>2</v>
      </c>
      <c r="B7" s="293" t="s">
        <v>87</v>
      </c>
      <c r="C7" s="293" t="s">
        <v>9</v>
      </c>
      <c r="D7" s="305" t="s">
        <v>89</v>
      </c>
      <c r="E7" s="293" t="s">
        <v>536</v>
      </c>
      <c r="F7" s="293"/>
      <c r="G7" s="293" t="s">
        <v>174</v>
      </c>
      <c r="H7" s="293"/>
      <c r="I7" s="293" t="s">
        <v>360</v>
      </c>
      <c r="J7" s="293"/>
      <c r="K7" s="293" t="s">
        <v>177</v>
      </c>
      <c r="L7" s="293"/>
      <c r="M7" s="293" t="s">
        <v>195</v>
      </c>
      <c r="N7" s="293"/>
      <c r="O7" s="293" t="s">
        <v>179</v>
      </c>
      <c r="P7" s="293"/>
      <c r="Q7" s="293" t="s">
        <v>361</v>
      </c>
      <c r="R7" s="309" t="s">
        <v>362</v>
      </c>
      <c r="S7" s="310"/>
      <c r="T7" s="309" t="s">
        <v>363</v>
      </c>
      <c r="U7" s="310"/>
      <c r="V7" s="317" t="s">
        <v>364</v>
      </c>
      <c r="W7" s="293" t="s">
        <v>457</v>
      </c>
      <c r="X7" s="293"/>
      <c r="Y7" s="293" t="s">
        <v>184</v>
      </c>
      <c r="Z7" s="293" t="s">
        <v>366</v>
      </c>
      <c r="AA7" s="306" t="s">
        <v>365</v>
      </c>
      <c r="AB7" s="308"/>
      <c r="AC7" s="293" t="s">
        <v>187</v>
      </c>
      <c r="AD7" s="293" t="s">
        <v>532</v>
      </c>
      <c r="AE7" s="317" t="s">
        <v>458</v>
      </c>
      <c r="AF7" s="293" t="s">
        <v>188</v>
      </c>
      <c r="AG7" s="320" t="s">
        <v>166</v>
      </c>
      <c r="AH7" s="320" t="s">
        <v>167</v>
      </c>
      <c r="AI7" s="293" t="s">
        <v>332</v>
      </c>
    </row>
    <row r="8" spans="1:41" s="65" customFormat="1" ht="53.25" customHeight="1" x14ac:dyDescent="0.25">
      <c r="A8" s="293"/>
      <c r="B8" s="293"/>
      <c r="C8" s="293"/>
      <c r="D8" s="305"/>
      <c r="E8" s="293"/>
      <c r="F8" s="293"/>
      <c r="G8" s="293"/>
      <c r="H8" s="293"/>
      <c r="I8" s="293"/>
      <c r="J8" s="293"/>
      <c r="K8" s="293"/>
      <c r="L8" s="293"/>
      <c r="M8" s="293"/>
      <c r="N8" s="293"/>
      <c r="O8" s="293"/>
      <c r="P8" s="293"/>
      <c r="Q8" s="293"/>
      <c r="R8" s="311"/>
      <c r="S8" s="312"/>
      <c r="T8" s="311"/>
      <c r="U8" s="312"/>
      <c r="V8" s="319"/>
      <c r="W8" s="293"/>
      <c r="X8" s="293"/>
      <c r="Y8" s="293"/>
      <c r="Z8" s="293"/>
      <c r="AA8" s="293" t="s">
        <v>15</v>
      </c>
      <c r="AB8" s="320" t="s">
        <v>449</v>
      </c>
      <c r="AC8" s="293"/>
      <c r="AD8" s="293"/>
      <c r="AE8" s="319"/>
      <c r="AF8" s="293"/>
      <c r="AG8" s="320"/>
      <c r="AH8" s="320"/>
      <c r="AI8" s="293"/>
    </row>
    <row r="9" spans="1:41" s="65" customFormat="1" ht="53.25" customHeight="1" x14ac:dyDescent="0.25">
      <c r="A9" s="293"/>
      <c r="B9" s="293"/>
      <c r="C9" s="293"/>
      <c r="D9" s="305"/>
      <c r="E9" s="293" t="s">
        <v>459</v>
      </c>
      <c r="F9" s="293" t="s">
        <v>90</v>
      </c>
      <c r="G9" s="293"/>
      <c r="H9" s="293"/>
      <c r="I9" s="293"/>
      <c r="J9" s="293"/>
      <c r="K9" s="293"/>
      <c r="L9" s="293"/>
      <c r="M9" s="293"/>
      <c r="N9" s="293"/>
      <c r="O9" s="293"/>
      <c r="P9" s="293"/>
      <c r="Q9" s="293"/>
      <c r="R9" s="313"/>
      <c r="S9" s="314"/>
      <c r="T9" s="313"/>
      <c r="U9" s="314"/>
      <c r="V9" s="319"/>
      <c r="W9" s="293"/>
      <c r="X9" s="293"/>
      <c r="Y9" s="293"/>
      <c r="Z9" s="293"/>
      <c r="AA9" s="293"/>
      <c r="AB9" s="320"/>
      <c r="AC9" s="293"/>
      <c r="AD9" s="293"/>
      <c r="AE9" s="319"/>
      <c r="AF9" s="293"/>
      <c r="AG9" s="320"/>
      <c r="AH9" s="320"/>
      <c r="AI9" s="293"/>
    </row>
    <row r="10" spans="1:41" s="65" customFormat="1" ht="53.25" customHeight="1" x14ac:dyDescent="0.25">
      <c r="A10" s="293"/>
      <c r="B10" s="293"/>
      <c r="C10" s="293"/>
      <c r="D10" s="305"/>
      <c r="E10" s="293"/>
      <c r="F10" s="293"/>
      <c r="G10" s="92" t="s">
        <v>1</v>
      </c>
      <c r="H10" s="92" t="s">
        <v>142</v>
      </c>
      <c r="I10" s="92" t="s">
        <v>7</v>
      </c>
      <c r="J10" s="92" t="s">
        <v>142</v>
      </c>
      <c r="K10" s="92" t="s">
        <v>8</v>
      </c>
      <c r="L10" s="92" t="s">
        <v>142</v>
      </c>
      <c r="M10" s="99" t="s">
        <v>10</v>
      </c>
      <c r="N10" s="92" t="s">
        <v>142</v>
      </c>
      <c r="O10" s="99" t="s">
        <v>1</v>
      </c>
      <c r="P10" s="92" t="s">
        <v>142</v>
      </c>
      <c r="Q10" s="293"/>
      <c r="R10" s="92" t="s">
        <v>1</v>
      </c>
      <c r="S10" s="92" t="s">
        <v>142</v>
      </c>
      <c r="T10" s="92" t="s">
        <v>1</v>
      </c>
      <c r="U10" s="92" t="s">
        <v>142</v>
      </c>
      <c r="V10" s="318"/>
      <c r="W10" s="99" t="s">
        <v>1</v>
      </c>
      <c r="X10" s="92" t="s">
        <v>142</v>
      </c>
      <c r="Y10" s="293"/>
      <c r="Z10" s="293"/>
      <c r="AA10" s="293"/>
      <c r="AB10" s="320"/>
      <c r="AC10" s="293"/>
      <c r="AD10" s="293"/>
      <c r="AE10" s="318"/>
      <c r="AF10" s="293"/>
      <c r="AG10" s="320"/>
      <c r="AH10" s="320"/>
      <c r="AI10" s="293"/>
    </row>
    <row r="11" spans="1:41" s="2" customFormat="1" ht="52.5" x14ac:dyDescent="0.25">
      <c r="A11" s="13">
        <v>1</v>
      </c>
      <c r="B11" s="13">
        <v>2</v>
      </c>
      <c r="C11" s="13">
        <v>3</v>
      </c>
      <c r="D11" s="13">
        <v>4</v>
      </c>
      <c r="E11" s="13">
        <v>5</v>
      </c>
      <c r="F11" s="13" t="s">
        <v>12</v>
      </c>
      <c r="G11" s="14">
        <v>7</v>
      </c>
      <c r="H11" s="14" t="s">
        <v>13</v>
      </c>
      <c r="I11" s="13">
        <v>9</v>
      </c>
      <c r="J11" s="13">
        <v>10</v>
      </c>
      <c r="K11" s="13">
        <v>11</v>
      </c>
      <c r="L11" s="13">
        <v>12</v>
      </c>
      <c r="M11" s="13">
        <v>13</v>
      </c>
      <c r="N11" s="13">
        <v>14</v>
      </c>
      <c r="O11" s="13">
        <v>15</v>
      </c>
      <c r="P11" s="13" t="s">
        <v>14</v>
      </c>
      <c r="Q11" s="13" t="s">
        <v>91</v>
      </c>
      <c r="R11" s="13">
        <v>18</v>
      </c>
      <c r="S11" s="13" t="s">
        <v>39</v>
      </c>
      <c r="T11" s="13">
        <v>20</v>
      </c>
      <c r="U11" s="13" t="s">
        <v>40</v>
      </c>
      <c r="V11" s="13" t="s">
        <v>92</v>
      </c>
      <c r="W11" s="13">
        <v>23</v>
      </c>
      <c r="X11" s="13">
        <v>24</v>
      </c>
      <c r="Y11" s="13" t="s">
        <v>93</v>
      </c>
      <c r="Z11" s="15">
        <v>26</v>
      </c>
      <c r="AA11" s="14" t="s">
        <v>94</v>
      </c>
      <c r="AB11" s="16">
        <v>28</v>
      </c>
      <c r="AC11" s="13" t="s">
        <v>95</v>
      </c>
      <c r="AD11" s="56" t="s">
        <v>252</v>
      </c>
      <c r="AE11" s="56"/>
      <c r="AF11" s="13" t="s">
        <v>367</v>
      </c>
      <c r="AG11" s="16" t="s">
        <v>368</v>
      </c>
      <c r="AH11" s="16" t="s">
        <v>460</v>
      </c>
      <c r="AI11" s="13" t="s">
        <v>369</v>
      </c>
    </row>
    <row r="12" spans="1:41" s="152" customFormat="1" ht="38.25" x14ac:dyDescent="0.2">
      <c r="A12" s="148" t="s">
        <v>461</v>
      </c>
      <c r="B12" s="86" t="s">
        <v>544</v>
      </c>
      <c r="C12" s="130"/>
      <c r="D12" s="202">
        <f>SUM(D13:D22)</f>
        <v>1</v>
      </c>
      <c r="E12" s="202">
        <f>SUM(E13:E22)</f>
        <v>6460</v>
      </c>
      <c r="F12" s="202">
        <f t="shared" ref="F12:AI12" si="0">SUM(F13:F22)</f>
        <v>6460</v>
      </c>
      <c r="G12" s="202"/>
      <c r="H12" s="202">
        <f t="shared" si="0"/>
        <v>1615</v>
      </c>
      <c r="I12" s="202">
        <f t="shared" si="0"/>
        <v>0</v>
      </c>
      <c r="J12" s="202">
        <f t="shared" si="0"/>
        <v>1100</v>
      </c>
      <c r="K12" s="202">
        <f t="shared" si="0"/>
        <v>0</v>
      </c>
      <c r="L12" s="202">
        <f t="shared" si="0"/>
        <v>100</v>
      </c>
      <c r="M12" s="202">
        <f t="shared" si="0"/>
        <v>0</v>
      </c>
      <c r="N12" s="202">
        <f t="shared" si="0"/>
        <v>0</v>
      </c>
      <c r="O12" s="202"/>
      <c r="P12" s="202">
        <f t="shared" si="0"/>
        <v>0</v>
      </c>
      <c r="Q12" s="202">
        <f t="shared" si="0"/>
        <v>646</v>
      </c>
      <c r="R12" s="202"/>
      <c r="S12" s="202">
        <f t="shared" si="0"/>
        <v>1292</v>
      </c>
      <c r="T12" s="202"/>
      <c r="U12" s="202">
        <f t="shared" si="0"/>
        <v>0</v>
      </c>
      <c r="V12" s="202">
        <f t="shared" si="0"/>
        <v>323</v>
      </c>
      <c r="W12" s="202">
        <f t="shared" si="0"/>
        <v>0</v>
      </c>
      <c r="X12" s="202">
        <f t="shared" si="0"/>
        <v>0</v>
      </c>
      <c r="Y12" s="203">
        <f t="shared" si="0"/>
        <v>11536</v>
      </c>
      <c r="Z12" s="203">
        <f t="shared" si="0"/>
        <v>5768</v>
      </c>
      <c r="AA12" s="203">
        <f t="shared" si="0"/>
        <v>5768</v>
      </c>
      <c r="AB12" s="203">
        <f t="shared" si="0"/>
        <v>5768</v>
      </c>
      <c r="AC12" s="203">
        <f t="shared" si="0"/>
        <v>6460</v>
      </c>
      <c r="AD12" s="203">
        <f t="shared" si="0"/>
        <v>1019</v>
      </c>
      <c r="AE12" s="203">
        <f t="shared" si="0"/>
        <v>0</v>
      </c>
      <c r="AF12" s="203">
        <f t="shared" si="0"/>
        <v>158.5</v>
      </c>
      <c r="AG12" s="203">
        <f t="shared" si="0"/>
        <v>35.1</v>
      </c>
      <c r="AH12" s="203">
        <f t="shared" si="0"/>
        <v>7.1</v>
      </c>
      <c r="AI12" s="203">
        <f t="shared" si="0"/>
        <v>200.7</v>
      </c>
    </row>
    <row r="13" spans="1:41" s="65" customFormat="1" ht="14.45" customHeight="1" x14ac:dyDescent="0.25">
      <c r="A13" s="18">
        <v>1</v>
      </c>
      <c r="B13" s="18" t="s">
        <v>395</v>
      </c>
      <c r="C13" s="18"/>
      <c r="D13" s="17">
        <v>1</v>
      </c>
      <c r="E13" s="17">
        <v>6460</v>
      </c>
      <c r="F13" s="17">
        <f>ROUND(D13*E13,1)</f>
        <v>6460</v>
      </c>
      <c r="G13" s="194">
        <v>0.25</v>
      </c>
      <c r="H13" s="192">
        <f>ROUND(F13*G13,1)</f>
        <v>1615</v>
      </c>
      <c r="I13" s="17" t="s">
        <v>462</v>
      </c>
      <c r="J13" s="17">
        <v>1100</v>
      </c>
      <c r="K13" s="17" t="s">
        <v>437</v>
      </c>
      <c r="L13" s="17">
        <v>100</v>
      </c>
      <c r="M13" s="189"/>
      <c r="N13" s="17"/>
      <c r="O13" s="194"/>
      <c r="P13" s="17">
        <f>ROUND(F13*O13,1)</f>
        <v>0</v>
      </c>
      <c r="Q13" s="17">
        <f>ROUND(F13*10%,1)</f>
        <v>646</v>
      </c>
      <c r="R13" s="194">
        <f>20%</f>
        <v>0.2</v>
      </c>
      <c r="S13" s="17">
        <f>ROUND(F13*R13,1)</f>
        <v>1292</v>
      </c>
      <c r="T13" s="194"/>
      <c r="U13" s="17">
        <f>ROUND(F13*T13,1)</f>
        <v>0</v>
      </c>
      <c r="V13" s="17">
        <f>ROUND(F13*5%,1)</f>
        <v>323</v>
      </c>
      <c r="W13" s="17"/>
      <c r="X13" s="17"/>
      <c r="Y13" s="201">
        <f>ROUND(F13+H13+J13+L13+N13+P13+Q13+S13+U13+V13+X13,1)</f>
        <v>11536</v>
      </c>
      <c r="Z13" s="201">
        <f>Y13/2</f>
        <v>5768</v>
      </c>
      <c r="AA13" s="201">
        <f>ROUND(Y13-Z13,1)</f>
        <v>5768</v>
      </c>
      <c r="AB13" s="204">
        <f>IF(AA13&gt;6650*D13,6650*D13,AA13)</f>
        <v>5768</v>
      </c>
      <c r="AC13" s="201">
        <f>F13</f>
        <v>6460</v>
      </c>
      <c r="AD13" s="205">
        <f>ROUND((AC13+Z13)/12,1)</f>
        <v>1019</v>
      </c>
      <c r="AE13" s="205"/>
      <c r="AF13" s="201">
        <f>ROUND((Y13*12+Z13+AA13+AC13+AD13+AD13+AE13)/1000,1)</f>
        <v>158.5</v>
      </c>
      <c r="AG13" s="201">
        <f>ROUND((AF13-AB13/1000)*23%,1)</f>
        <v>35.1</v>
      </c>
      <c r="AH13" s="201">
        <f>ROUND(AF13*4.5%,1)</f>
        <v>7.1</v>
      </c>
      <c r="AI13" s="201">
        <f>AF13+AG13+AH13</f>
        <v>200.7</v>
      </c>
    </row>
    <row r="14" spans="1:41" s="65" customFormat="1" ht="14.45" customHeight="1" x14ac:dyDescent="0.25">
      <c r="A14" s="18">
        <v>2</v>
      </c>
      <c r="B14" s="18"/>
      <c r="C14" s="18"/>
      <c r="D14" s="17"/>
      <c r="E14" s="17"/>
      <c r="F14" s="17">
        <f t="shared" ref="F14:F22" si="1">ROUND(D14*E14,1)</f>
        <v>0</v>
      </c>
      <c r="G14" s="194"/>
      <c r="H14" s="192">
        <f t="shared" ref="H14:H22" si="2">ROUND(F14*G14,1)</f>
        <v>0</v>
      </c>
      <c r="I14" s="17"/>
      <c r="J14" s="17"/>
      <c r="K14" s="17"/>
      <c r="L14" s="17"/>
      <c r="M14" s="189"/>
      <c r="N14" s="17"/>
      <c r="O14" s="194"/>
      <c r="P14" s="17">
        <f t="shared" ref="P14:P22" si="3">ROUND(F14*O14,1)</f>
        <v>0</v>
      </c>
      <c r="Q14" s="17">
        <f t="shared" ref="Q14:Q22" si="4">ROUND(F14*10%,1)</f>
        <v>0</v>
      </c>
      <c r="R14" s="194"/>
      <c r="S14" s="17">
        <f t="shared" ref="S14:S21" si="5">ROUND(F14*R14,1)</f>
        <v>0</v>
      </c>
      <c r="T14" s="194"/>
      <c r="U14" s="17">
        <f t="shared" ref="U14:U22" si="6">ROUND(F14*T14,1)</f>
        <v>0</v>
      </c>
      <c r="V14" s="17">
        <f t="shared" ref="V14:V22" si="7">ROUND(F14*5%,1)</f>
        <v>0</v>
      </c>
      <c r="W14" s="17"/>
      <c r="X14" s="17"/>
      <c r="Y14" s="201">
        <f t="shared" ref="Y14:Y22" si="8">ROUND(F14+H14+J14+L14+N14+P14+Q14+S14+U14+V14+X14,1)</f>
        <v>0</v>
      </c>
      <c r="Z14" s="206"/>
      <c r="AA14" s="201">
        <f t="shared" ref="AA14:AA22" si="9">ROUND(Y14-Z14,1)</f>
        <v>0</v>
      </c>
      <c r="AB14" s="204">
        <f t="shared" ref="AB14:AB22" si="10">IF(AA14&gt;6650*D14,6650*D14,AA14)</f>
        <v>0</v>
      </c>
      <c r="AC14" s="201">
        <f t="shared" ref="AC14:AC22" si="11">F14</f>
        <v>0</v>
      </c>
      <c r="AD14" s="205">
        <f t="shared" ref="AD14:AD22" si="12">ROUND((AC14+Z14)/12,1)</f>
        <v>0</v>
      </c>
      <c r="AE14" s="201"/>
      <c r="AF14" s="201">
        <f t="shared" ref="AF14:AF22" si="13">ROUND((Y14*12+Z14+AA14+AC14+AD14+AD14+AE14)/1000,1)</f>
        <v>0</v>
      </c>
      <c r="AG14" s="201">
        <f t="shared" ref="AG14:AG22" si="14">ROUND((AF14-AB14/1000)*23%,1)</f>
        <v>0</v>
      </c>
      <c r="AH14" s="201">
        <f t="shared" ref="AH14:AH22" si="15">ROUND(AF14*4.5%,1)</f>
        <v>0</v>
      </c>
      <c r="AI14" s="201">
        <f t="shared" ref="AI14:AI22" si="16">AF14+AG14+AH14</f>
        <v>0</v>
      </c>
    </row>
    <row r="15" spans="1:41" s="65" customFormat="1" x14ac:dyDescent="0.25">
      <c r="A15" s="18">
        <v>3</v>
      </c>
      <c r="B15" s="18"/>
      <c r="C15" s="18"/>
      <c r="D15" s="17"/>
      <c r="E15" s="17"/>
      <c r="F15" s="17">
        <f t="shared" si="1"/>
        <v>0</v>
      </c>
      <c r="G15" s="194"/>
      <c r="H15" s="192">
        <f t="shared" si="2"/>
        <v>0</v>
      </c>
      <c r="I15" s="17"/>
      <c r="J15" s="17"/>
      <c r="K15" s="17"/>
      <c r="L15" s="17"/>
      <c r="M15" s="189"/>
      <c r="N15" s="17"/>
      <c r="O15" s="194"/>
      <c r="P15" s="17">
        <f t="shared" si="3"/>
        <v>0</v>
      </c>
      <c r="Q15" s="17">
        <f t="shared" si="4"/>
        <v>0</v>
      </c>
      <c r="R15" s="194"/>
      <c r="S15" s="17">
        <f t="shared" si="5"/>
        <v>0</v>
      </c>
      <c r="T15" s="194"/>
      <c r="U15" s="17">
        <f t="shared" si="6"/>
        <v>0</v>
      </c>
      <c r="V15" s="17">
        <f t="shared" si="7"/>
        <v>0</v>
      </c>
      <c r="W15" s="17"/>
      <c r="X15" s="17"/>
      <c r="Y15" s="201">
        <f t="shared" si="8"/>
        <v>0</v>
      </c>
      <c r="Z15" s="201"/>
      <c r="AA15" s="201">
        <f t="shared" si="9"/>
        <v>0</v>
      </c>
      <c r="AB15" s="204">
        <f t="shared" si="10"/>
        <v>0</v>
      </c>
      <c r="AC15" s="201">
        <f t="shared" si="11"/>
        <v>0</v>
      </c>
      <c r="AD15" s="205">
        <f t="shared" si="12"/>
        <v>0</v>
      </c>
      <c r="AE15" s="201"/>
      <c r="AF15" s="201">
        <f t="shared" si="13"/>
        <v>0</v>
      </c>
      <c r="AG15" s="201">
        <f t="shared" si="14"/>
        <v>0</v>
      </c>
      <c r="AH15" s="201">
        <f t="shared" si="15"/>
        <v>0</v>
      </c>
      <c r="AI15" s="201">
        <f t="shared" si="16"/>
        <v>0</v>
      </c>
    </row>
    <row r="16" spans="1:41" s="65" customFormat="1" ht="14.45" customHeight="1" x14ac:dyDescent="0.25">
      <c r="A16" s="18">
        <v>4</v>
      </c>
      <c r="B16" s="18"/>
      <c r="C16" s="18"/>
      <c r="D16" s="17"/>
      <c r="E16" s="17"/>
      <c r="F16" s="17">
        <f t="shared" si="1"/>
        <v>0</v>
      </c>
      <c r="G16" s="194"/>
      <c r="H16" s="192">
        <f t="shared" si="2"/>
        <v>0</v>
      </c>
      <c r="I16" s="17"/>
      <c r="J16" s="17"/>
      <c r="K16" s="17"/>
      <c r="L16" s="17"/>
      <c r="M16" s="189"/>
      <c r="N16" s="17"/>
      <c r="O16" s="194"/>
      <c r="P16" s="17">
        <f t="shared" si="3"/>
        <v>0</v>
      </c>
      <c r="Q16" s="17">
        <f t="shared" si="4"/>
        <v>0</v>
      </c>
      <c r="R16" s="194"/>
      <c r="S16" s="17">
        <f t="shared" si="5"/>
        <v>0</v>
      </c>
      <c r="T16" s="194"/>
      <c r="U16" s="17">
        <f t="shared" si="6"/>
        <v>0</v>
      </c>
      <c r="V16" s="17">
        <f t="shared" si="7"/>
        <v>0</v>
      </c>
      <c r="W16" s="17"/>
      <c r="X16" s="17"/>
      <c r="Y16" s="201">
        <f t="shared" si="8"/>
        <v>0</v>
      </c>
      <c r="Z16" s="201"/>
      <c r="AA16" s="201">
        <f t="shared" si="9"/>
        <v>0</v>
      </c>
      <c r="AB16" s="204">
        <f t="shared" si="10"/>
        <v>0</v>
      </c>
      <c r="AC16" s="201">
        <f t="shared" si="11"/>
        <v>0</v>
      </c>
      <c r="AD16" s="205">
        <f t="shared" si="12"/>
        <v>0</v>
      </c>
      <c r="AE16" s="201"/>
      <c r="AF16" s="201">
        <f t="shared" si="13"/>
        <v>0</v>
      </c>
      <c r="AG16" s="201">
        <f t="shared" si="14"/>
        <v>0</v>
      </c>
      <c r="AH16" s="201">
        <f t="shared" si="15"/>
        <v>0</v>
      </c>
      <c r="AI16" s="201">
        <f t="shared" si="16"/>
        <v>0</v>
      </c>
    </row>
    <row r="17" spans="1:58" s="65" customFormat="1" ht="14.45" customHeight="1" x14ac:dyDescent="0.25">
      <c r="A17" s="18"/>
      <c r="B17" s="18"/>
      <c r="C17" s="18"/>
      <c r="D17" s="17"/>
      <c r="E17" s="17"/>
      <c r="F17" s="17">
        <f t="shared" si="1"/>
        <v>0</v>
      </c>
      <c r="G17" s="194"/>
      <c r="H17" s="192">
        <f t="shared" si="2"/>
        <v>0</v>
      </c>
      <c r="I17" s="17"/>
      <c r="J17" s="17"/>
      <c r="K17" s="17"/>
      <c r="L17" s="17"/>
      <c r="M17" s="189"/>
      <c r="N17" s="17"/>
      <c r="O17" s="194"/>
      <c r="P17" s="17">
        <f t="shared" si="3"/>
        <v>0</v>
      </c>
      <c r="Q17" s="17">
        <f t="shared" si="4"/>
        <v>0</v>
      </c>
      <c r="R17" s="194"/>
      <c r="S17" s="17">
        <f t="shared" si="5"/>
        <v>0</v>
      </c>
      <c r="T17" s="194"/>
      <c r="U17" s="17">
        <f t="shared" si="6"/>
        <v>0</v>
      </c>
      <c r="V17" s="17">
        <f t="shared" si="7"/>
        <v>0</v>
      </c>
      <c r="W17" s="17"/>
      <c r="X17" s="17"/>
      <c r="Y17" s="201">
        <f t="shared" si="8"/>
        <v>0</v>
      </c>
      <c r="Z17" s="201"/>
      <c r="AA17" s="201">
        <f t="shared" si="9"/>
        <v>0</v>
      </c>
      <c r="AB17" s="204">
        <f t="shared" si="10"/>
        <v>0</v>
      </c>
      <c r="AC17" s="201">
        <f t="shared" si="11"/>
        <v>0</v>
      </c>
      <c r="AD17" s="205">
        <f t="shared" si="12"/>
        <v>0</v>
      </c>
      <c r="AE17" s="201"/>
      <c r="AF17" s="201">
        <f t="shared" si="13"/>
        <v>0</v>
      </c>
      <c r="AG17" s="201">
        <f t="shared" si="14"/>
        <v>0</v>
      </c>
      <c r="AH17" s="201">
        <f t="shared" si="15"/>
        <v>0</v>
      </c>
      <c r="AI17" s="201">
        <f t="shared" si="16"/>
        <v>0</v>
      </c>
    </row>
    <row r="18" spans="1:58" s="65" customFormat="1" ht="14.45" customHeight="1" x14ac:dyDescent="0.25">
      <c r="A18" s="18"/>
      <c r="B18" s="18"/>
      <c r="C18" s="18"/>
      <c r="D18" s="17"/>
      <c r="E18" s="17"/>
      <c r="F18" s="17">
        <f t="shared" si="1"/>
        <v>0</v>
      </c>
      <c r="G18" s="194"/>
      <c r="H18" s="192">
        <f t="shared" si="2"/>
        <v>0</v>
      </c>
      <c r="I18" s="17"/>
      <c r="J18" s="17"/>
      <c r="K18" s="17"/>
      <c r="L18" s="17"/>
      <c r="M18" s="189"/>
      <c r="N18" s="17"/>
      <c r="O18" s="194"/>
      <c r="P18" s="17">
        <f t="shared" si="3"/>
        <v>0</v>
      </c>
      <c r="Q18" s="17">
        <f t="shared" si="4"/>
        <v>0</v>
      </c>
      <c r="R18" s="194"/>
      <c r="S18" s="17">
        <f t="shared" si="5"/>
        <v>0</v>
      </c>
      <c r="T18" s="194"/>
      <c r="U18" s="17">
        <f t="shared" si="6"/>
        <v>0</v>
      </c>
      <c r="V18" s="17">
        <f t="shared" si="7"/>
        <v>0</v>
      </c>
      <c r="W18" s="17"/>
      <c r="X18" s="17"/>
      <c r="Y18" s="201">
        <f t="shared" si="8"/>
        <v>0</v>
      </c>
      <c r="Z18" s="201"/>
      <c r="AA18" s="201">
        <f t="shared" si="9"/>
        <v>0</v>
      </c>
      <c r="AB18" s="204">
        <f t="shared" si="10"/>
        <v>0</v>
      </c>
      <c r="AC18" s="201">
        <f t="shared" si="11"/>
        <v>0</v>
      </c>
      <c r="AD18" s="205">
        <f t="shared" si="12"/>
        <v>0</v>
      </c>
      <c r="AE18" s="201"/>
      <c r="AF18" s="201">
        <f t="shared" si="13"/>
        <v>0</v>
      </c>
      <c r="AG18" s="201">
        <f t="shared" si="14"/>
        <v>0</v>
      </c>
      <c r="AH18" s="201">
        <f t="shared" si="15"/>
        <v>0</v>
      </c>
      <c r="AI18" s="201">
        <f t="shared" si="16"/>
        <v>0</v>
      </c>
    </row>
    <row r="19" spans="1:58" s="65" customFormat="1" ht="14.45" customHeight="1" x14ac:dyDescent="0.25">
      <c r="A19" s="18"/>
      <c r="B19" s="18"/>
      <c r="C19" s="18"/>
      <c r="D19" s="17"/>
      <c r="E19" s="17"/>
      <c r="F19" s="17">
        <f t="shared" si="1"/>
        <v>0</v>
      </c>
      <c r="G19" s="194"/>
      <c r="H19" s="192">
        <f t="shared" si="2"/>
        <v>0</v>
      </c>
      <c r="I19" s="17"/>
      <c r="J19" s="17"/>
      <c r="K19" s="17"/>
      <c r="L19" s="17"/>
      <c r="M19" s="189"/>
      <c r="N19" s="17"/>
      <c r="O19" s="194"/>
      <c r="P19" s="17">
        <f t="shared" si="3"/>
        <v>0</v>
      </c>
      <c r="Q19" s="17">
        <f t="shared" si="4"/>
        <v>0</v>
      </c>
      <c r="R19" s="194"/>
      <c r="S19" s="17">
        <f t="shared" si="5"/>
        <v>0</v>
      </c>
      <c r="T19" s="194"/>
      <c r="U19" s="17">
        <f t="shared" si="6"/>
        <v>0</v>
      </c>
      <c r="V19" s="17">
        <f t="shared" si="7"/>
        <v>0</v>
      </c>
      <c r="W19" s="17"/>
      <c r="X19" s="17"/>
      <c r="Y19" s="201">
        <f t="shared" si="8"/>
        <v>0</v>
      </c>
      <c r="Z19" s="201"/>
      <c r="AA19" s="201">
        <f t="shared" si="9"/>
        <v>0</v>
      </c>
      <c r="AB19" s="204">
        <f t="shared" si="10"/>
        <v>0</v>
      </c>
      <c r="AC19" s="201">
        <f t="shared" si="11"/>
        <v>0</v>
      </c>
      <c r="AD19" s="205">
        <f t="shared" si="12"/>
        <v>0</v>
      </c>
      <c r="AE19" s="201"/>
      <c r="AF19" s="201">
        <f t="shared" si="13"/>
        <v>0</v>
      </c>
      <c r="AG19" s="201">
        <f t="shared" si="14"/>
        <v>0</v>
      </c>
      <c r="AH19" s="201">
        <f t="shared" si="15"/>
        <v>0</v>
      </c>
      <c r="AI19" s="201">
        <f t="shared" si="16"/>
        <v>0</v>
      </c>
    </row>
    <row r="20" spans="1:58" s="65" customFormat="1" x14ac:dyDescent="0.25">
      <c r="A20" s="18"/>
      <c r="B20" s="18"/>
      <c r="C20" s="18"/>
      <c r="D20" s="17"/>
      <c r="E20" s="17"/>
      <c r="F20" s="17">
        <f t="shared" si="1"/>
        <v>0</v>
      </c>
      <c r="G20" s="194"/>
      <c r="H20" s="192">
        <f t="shared" si="2"/>
        <v>0</v>
      </c>
      <c r="I20" s="17"/>
      <c r="J20" s="17"/>
      <c r="K20" s="17"/>
      <c r="L20" s="17"/>
      <c r="M20" s="189"/>
      <c r="N20" s="17"/>
      <c r="O20" s="194"/>
      <c r="P20" s="17">
        <f t="shared" si="3"/>
        <v>0</v>
      </c>
      <c r="Q20" s="17">
        <f t="shared" si="4"/>
        <v>0</v>
      </c>
      <c r="R20" s="194"/>
      <c r="S20" s="17">
        <f t="shared" si="5"/>
        <v>0</v>
      </c>
      <c r="T20" s="194"/>
      <c r="U20" s="17">
        <f t="shared" si="6"/>
        <v>0</v>
      </c>
      <c r="V20" s="17">
        <f t="shared" si="7"/>
        <v>0</v>
      </c>
      <c r="W20" s="17"/>
      <c r="X20" s="17"/>
      <c r="Y20" s="201">
        <f t="shared" si="8"/>
        <v>0</v>
      </c>
      <c r="Z20" s="201"/>
      <c r="AA20" s="201">
        <f t="shared" si="9"/>
        <v>0</v>
      </c>
      <c r="AB20" s="204">
        <f t="shared" si="10"/>
        <v>0</v>
      </c>
      <c r="AC20" s="201">
        <f t="shared" si="11"/>
        <v>0</v>
      </c>
      <c r="AD20" s="205">
        <f t="shared" si="12"/>
        <v>0</v>
      </c>
      <c r="AE20" s="201"/>
      <c r="AF20" s="201">
        <f t="shared" si="13"/>
        <v>0</v>
      </c>
      <c r="AG20" s="201">
        <f t="shared" si="14"/>
        <v>0</v>
      </c>
      <c r="AH20" s="201">
        <f t="shared" si="15"/>
        <v>0</v>
      </c>
      <c r="AI20" s="201">
        <f t="shared" si="16"/>
        <v>0</v>
      </c>
    </row>
    <row r="21" spans="1:58" s="65" customFormat="1" x14ac:dyDescent="0.25">
      <c r="A21" s="18"/>
      <c r="B21" s="18"/>
      <c r="C21" s="18"/>
      <c r="D21" s="17"/>
      <c r="E21" s="17"/>
      <c r="F21" s="17">
        <f t="shared" si="1"/>
        <v>0</v>
      </c>
      <c r="G21" s="194"/>
      <c r="H21" s="192">
        <f t="shared" si="2"/>
        <v>0</v>
      </c>
      <c r="I21" s="17"/>
      <c r="J21" s="17"/>
      <c r="K21" s="17"/>
      <c r="L21" s="17"/>
      <c r="M21" s="189"/>
      <c r="N21" s="17"/>
      <c r="O21" s="194"/>
      <c r="P21" s="17">
        <f t="shared" si="3"/>
        <v>0</v>
      </c>
      <c r="Q21" s="17">
        <f t="shared" si="4"/>
        <v>0</v>
      </c>
      <c r="R21" s="194"/>
      <c r="S21" s="17">
        <f t="shared" si="5"/>
        <v>0</v>
      </c>
      <c r="T21" s="194"/>
      <c r="U21" s="17">
        <f t="shared" si="6"/>
        <v>0</v>
      </c>
      <c r="V21" s="17">
        <f t="shared" si="7"/>
        <v>0</v>
      </c>
      <c r="W21" s="17"/>
      <c r="X21" s="17"/>
      <c r="Y21" s="201">
        <f t="shared" si="8"/>
        <v>0</v>
      </c>
      <c r="Z21" s="201"/>
      <c r="AA21" s="201">
        <f t="shared" si="9"/>
        <v>0</v>
      </c>
      <c r="AB21" s="204">
        <f t="shared" si="10"/>
        <v>0</v>
      </c>
      <c r="AC21" s="201">
        <f t="shared" si="11"/>
        <v>0</v>
      </c>
      <c r="AD21" s="205">
        <f t="shared" si="12"/>
        <v>0</v>
      </c>
      <c r="AE21" s="201"/>
      <c r="AF21" s="201">
        <f t="shared" si="13"/>
        <v>0</v>
      </c>
      <c r="AG21" s="201">
        <f t="shared" si="14"/>
        <v>0</v>
      </c>
      <c r="AH21" s="201">
        <f t="shared" si="15"/>
        <v>0</v>
      </c>
      <c r="AI21" s="201">
        <f t="shared" si="16"/>
        <v>0</v>
      </c>
    </row>
    <row r="22" spans="1:58" s="65" customFormat="1" x14ac:dyDescent="0.25">
      <c r="A22" s="18"/>
      <c r="B22" s="18"/>
      <c r="C22" s="18"/>
      <c r="D22" s="17"/>
      <c r="E22" s="17"/>
      <c r="F22" s="17">
        <f t="shared" si="1"/>
        <v>0</v>
      </c>
      <c r="G22" s="194"/>
      <c r="H22" s="192">
        <f t="shared" si="2"/>
        <v>0</v>
      </c>
      <c r="I22" s="17"/>
      <c r="J22" s="17"/>
      <c r="K22" s="70"/>
      <c r="L22" s="17"/>
      <c r="M22" s="189"/>
      <c r="N22" s="17"/>
      <c r="O22" s="194"/>
      <c r="P22" s="17">
        <f t="shared" si="3"/>
        <v>0</v>
      </c>
      <c r="Q22" s="17">
        <f t="shared" si="4"/>
        <v>0</v>
      </c>
      <c r="R22" s="194"/>
      <c r="S22" s="17">
        <f>ROUND(F22*R22,1)</f>
        <v>0</v>
      </c>
      <c r="T22" s="194"/>
      <c r="U22" s="17">
        <f t="shared" si="6"/>
        <v>0</v>
      </c>
      <c r="V22" s="17">
        <f t="shared" si="7"/>
        <v>0</v>
      </c>
      <c r="W22" s="17"/>
      <c r="X22" s="17"/>
      <c r="Y22" s="201">
        <f t="shared" si="8"/>
        <v>0</v>
      </c>
      <c r="Z22" s="201"/>
      <c r="AA22" s="201">
        <f t="shared" si="9"/>
        <v>0</v>
      </c>
      <c r="AB22" s="204">
        <f t="shared" si="10"/>
        <v>0</v>
      </c>
      <c r="AC22" s="201">
        <f t="shared" si="11"/>
        <v>0</v>
      </c>
      <c r="AD22" s="205">
        <f t="shared" si="12"/>
        <v>0</v>
      </c>
      <c r="AE22" s="201"/>
      <c r="AF22" s="201">
        <f t="shared" si="13"/>
        <v>0</v>
      </c>
      <c r="AG22" s="201">
        <f t="shared" si="14"/>
        <v>0</v>
      </c>
      <c r="AH22" s="201">
        <f t="shared" si="15"/>
        <v>0</v>
      </c>
      <c r="AI22" s="201">
        <f t="shared" si="16"/>
        <v>0</v>
      </c>
    </row>
    <row r="23" spans="1:58" s="21" customFormat="1" ht="14.25" customHeight="1" x14ac:dyDescent="0.2">
      <c r="A23" s="291" t="s">
        <v>463</v>
      </c>
      <c r="B23" s="292"/>
      <c r="C23" s="292"/>
      <c r="D23" s="292"/>
      <c r="E23" s="292"/>
      <c r="F23" s="292"/>
      <c r="G23" s="292"/>
      <c r="H23" s="292"/>
      <c r="I23" s="292"/>
      <c r="J23" s="292"/>
      <c r="K23" s="292"/>
      <c r="L23" s="292"/>
      <c r="M23" s="292"/>
      <c r="N23" s="292"/>
      <c r="O23" s="292"/>
      <c r="P23" s="292"/>
      <c r="Q23" s="292"/>
      <c r="R23" s="292"/>
      <c r="S23" s="292"/>
      <c r="T23" s="292"/>
      <c r="U23" s="292"/>
      <c r="V23" s="292"/>
      <c r="W23" s="292"/>
      <c r="X23" s="108"/>
      <c r="Y23" s="20"/>
      <c r="Z23" s="108"/>
      <c r="AA23" s="20"/>
      <c r="AB23" s="20"/>
      <c r="AC23" s="109"/>
      <c r="AD23" s="108"/>
      <c r="AE23" s="20"/>
      <c r="AF23" s="106"/>
      <c r="AG23" s="20"/>
      <c r="AH23" s="110"/>
      <c r="AI23" s="111"/>
      <c r="AJ23" s="20"/>
      <c r="AK23" s="106"/>
      <c r="AL23" s="20"/>
      <c r="AM23" s="112"/>
      <c r="AN23" s="113"/>
      <c r="AO23" s="20"/>
      <c r="AP23" s="114"/>
      <c r="AQ23" s="20"/>
      <c r="AR23" s="112"/>
      <c r="AS23" s="102"/>
      <c r="AT23" s="20"/>
      <c r="AU23" s="20"/>
      <c r="AV23" s="20"/>
      <c r="AW23" s="20"/>
    </row>
    <row r="24" spans="1:58" s="21" customFormat="1" ht="14.25" customHeight="1" x14ac:dyDescent="0.2">
      <c r="A24" s="284" t="s">
        <v>464</v>
      </c>
      <c r="B24" s="284"/>
      <c r="C24" s="284"/>
      <c r="D24" s="284"/>
      <c r="E24" s="284"/>
      <c r="F24" s="284"/>
      <c r="G24" s="284"/>
      <c r="H24" s="284"/>
      <c r="I24" s="284"/>
      <c r="J24" s="284"/>
      <c r="K24" s="284"/>
      <c r="L24" s="284"/>
      <c r="M24" s="284"/>
      <c r="N24" s="284"/>
      <c r="O24" s="284"/>
      <c r="P24" s="284"/>
      <c r="Q24" s="284"/>
      <c r="R24" s="284"/>
      <c r="S24" s="284"/>
      <c r="T24" s="284"/>
      <c r="U24" s="284"/>
      <c r="V24" s="284"/>
      <c r="W24" s="284"/>
      <c r="X24" s="108"/>
      <c r="Y24" s="20"/>
      <c r="Z24" s="108"/>
      <c r="AA24" s="20"/>
      <c r="AB24" s="20"/>
      <c r="AC24" s="109"/>
      <c r="AD24" s="108"/>
      <c r="AE24" s="20"/>
      <c r="AF24" s="106"/>
      <c r="AG24" s="20"/>
      <c r="AH24" s="110"/>
      <c r="AI24" s="111"/>
      <c r="AJ24" s="20"/>
      <c r="AK24" s="106"/>
      <c r="AL24" s="20"/>
      <c r="AM24" s="112"/>
      <c r="AN24" s="113"/>
      <c r="AO24" s="20"/>
      <c r="AP24" s="114"/>
      <c r="AQ24" s="20"/>
      <c r="AR24" s="112"/>
      <c r="AS24" s="102"/>
      <c r="AT24" s="20"/>
      <c r="AU24" s="20"/>
      <c r="AV24" s="20"/>
      <c r="AW24" s="20"/>
    </row>
    <row r="25" spans="1:58" s="65" customFormat="1" x14ac:dyDescent="0.25">
      <c r="A25" s="47" t="s">
        <v>165</v>
      </c>
      <c r="B25" s="48"/>
      <c r="C25" s="48"/>
      <c r="D25" s="48"/>
      <c r="E25" s="48"/>
      <c r="F25" s="48"/>
      <c r="G25" s="48"/>
      <c r="H25" s="48"/>
      <c r="I25" s="48"/>
      <c r="J25" s="48"/>
      <c r="K25" s="48"/>
      <c r="L25" s="48"/>
      <c r="M25" s="48"/>
      <c r="N25" s="48"/>
      <c r="O25" s="48"/>
      <c r="P25" s="48"/>
      <c r="Q25" s="48"/>
      <c r="R25" s="48"/>
      <c r="S25" s="48"/>
      <c r="T25" s="48"/>
      <c r="U25" s="48"/>
      <c r="V25" s="49"/>
      <c r="W25" s="49"/>
      <c r="X25" s="49"/>
      <c r="Y25" s="49"/>
      <c r="Z25" s="49"/>
      <c r="AA25" s="49"/>
      <c r="AB25" s="20"/>
      <c r="AC25" s="20"/>
      <c r="AD25" s="20"/>
      <c r="AE25" s="20"/>
      <c r="AF25" s="20"/>
      <c r="AG25" s="20"/>
      <c r="AH25" s="20"/>
      <c r="AI25" s="20"/>
      <c r="AJ25" s="20"/>
      <c r="AK25" s="20"/>
      <c r="AL25" s="20"/>
      <c r="AM25" s="20"/>
      <c r="AN25" s="21"/>
      <c r="AO25" s="21"/>
      <c r="AP25" s="21"/>
      <c r="AQ25" s="21"/>
      <c r="AR25" s="19"/>
      <c r="AS25" s="20"/>
      <c r="AT25" s="20"/>
      <c r="AU25" s="102"/>
      <c r="AV25" s="102"/>
      <c r="AW25" s="102"/>
      <c r="AX25" s="21"/>
      <c r="AY25" s="37"/>
      <c r="AZ25" s="20"/>
      <c r="BA25" s="20"/>
      <c r="BB25" s="20"/>
      <c r="BC25" s="20"/>
    </row>
    <row r="26" spans="1:58" s="6" customFormat="1" ht="12.75" customHeight="1" x14ac:dyDescent="0.2">
      <c r="A26" s="285" t="s">
        <v>537</v>
      </c>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c r="AA26" s="285"/>
      <c r="AB26" s="19"/>
      <c r="AC26" s="19"/>
      <c r="AD26" s="19"/>
      <c r="AE26" s="19"/>
      <c r="AF26" s="19"/>
      <c r="AG26" s="19"/>
      <c r="AH26" s="20"/>
      <c r="AI26" s="20"/>
      <c r="AJ26" s="38"/>
      <c r="AK26" s="20"/>
      <c r="AL26" s="22"/>
      <c r="AM26" s="23"/>
      <c r="AN26" s="23"/>
      <c r="AO26" s="23"/>
      <c r="AP26" s="23"/>
      <c r="AQ26" s="19"/>
      <c r="AR26" s="19"/>
      <c r="AS26" s="19"/>
      <c r="AT26" s="19"/>
      <c r="AU26" s="19"/>
      <c r="AV26" s="19"/>
      <c r="AW26" s="19"/>
      <c r="AX26" s="19"/>
      <c r="AY26" s="20"/>
      <c r="AZ26" s="20"/>
      <c r="BA26" s="20"/>
      <c r="BB26" s="20"/>
      <c r="BC26" s="20"/>
    </row>
    <row r="27" spans="1:58" s="20" customFormat="1" ht="14.25" customHeight="1" x14ac:dyDescent="0.2">
      <c r="A27" s="285" t="s">
        <v>465</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94"/>
      <c r="Z27" s="94"/>
      <c r="AA27" s="94"/>
      <c r="AB27" s="94"/>
      <c r="AC27" s="94"/>
      <c r="AD27" s="94"/>
      <c r="AE27" s="94"/>
      <c r="AF27" s="94"/>
      <c r="AG27" s="19"/>
      <c r="AH27" s="19"/>
      <c r="AI27" s="19"/>
      <c r="AJ27" s="19"/>
      <c r="AK27" s="19"/>
      <c r="AL27" s="19"/>
      <c r="AM27" s="19"/>
      <c r="AQ27" s="38"/>
      <c r="AR27" s="38"/>
      <c r="AT27" s="22"/>
      <c r="AU27" s="23"/>
      <c r="AV27" s="23"/>
      <c r="AW27" s="23"/>
      <c r="AX27" s="19"/>
      <c r="AY27" s="19"/>
      <c r="AZ27" s="19"/>
      <c r="BA27" s="19"/>
      <c r="BB27" s="19"/>
      <c r="BC27" s="19"/>
      <c r="BD27" s="19"/>
      <c r="BE27" s="19"/>
      <c r="BF27" s="19"/>
    </row>
    <row r="28" spans="1:58" s="20" customFormat="1" ht="16.5" customHeight="1" x14ac:dyDescent="0.2">
      <c r="A28" s="286" t="s">
        <v>432</v>
      </c>
      <c r="B28" s="286"/>
      <c r="C28" s="286"/>
      <c r="D28" s="286"/>
      <c r="E28" s="286"/>
      <c r="F28" s="286"/>
      <c r="G28" s="286"/>
      <c r="H28" s="286"/>
      <c r="I28" s="286"/>
      <c r="J28" s="286"/>
      <c r="K28" s="286"/>
      <c r="L28" s="286"/>
      <c r="M28" s="286"/>
      <c r="N28" s="286"/>
      <c r="O28" s="286"/>
      <c r="P28" s="286"/>
      <c r="Q28" s="286"/>
      <c r="R28" s="286"/>
      <c r="S28" s="286"/>
      <c r="T28" s="286"/>
      <c r="U28" s="286"/>
      <c r="V28" s="286"/>
      <c r="W28" s="286"/>
      <c r="X28" s="286"/>
      <c r="Y28" s="94"/>
      <c r="Z28" s="94"/>
      <c r="AA28" s="94"/>
      <c r="AB28" s="94"/>
      <c r="AC28" s="94"/>
      <c r="AD28" s="94"/>
      <c r="AE28" s="94"/>
      <c r="AF28" s="94"/>
      <c r="AG28" s="94"/>
      <c r="AH28" s="19"/>
      <c r="AI28" s="19"/>
      <c r="AJ28" s="19"/>
      <c r="AK28" s="19"/>
      <c r="AL28" s="19"/>
      <c r="AM28" s="19"/>
      <c r="AQ28" s="38"/>
      <c r="AS28" s="22"/>
      <c r="AT28" s="23"/>
      <c r="AU28" s="23"/>
      <c r="AV28" s="23"/>
      <c r="AW28" s="23"/>
      <c r="AX28" s="19"/>
      <c r="AY28" s="19"/>
      <c r="AZ28" s="19"/>
      <c r="BA28" s="19"/>
      <c r="BB28" s="19"/>
      <c r="BC28" s="19"/>
      <c r="BD28" s="19"/>
      <c r="BE28" s="19"/>
      <c r="BF28" s="19"/>
    </row>
    <row r="29" spans="1:58" s="21" customFormat="1" ht="12.75" customHeight="1" x14ac:dyDescent="0.2">
      <c r="A29" s="286"/>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0"/>
      <c r="Z29" s="20"/>
      <c r="AA29" s="20"/>
      <c r="AB29" s="20"/>
      <c r="AC29" s="20"/>
      <c r="AD29" s="20"/>
      <c r="AE29" s="20"/>
      <c r="AF29" s="20"/>
    </row>
    <row r="30" spans="1:58" s="21" customFormat="1" ht="27" customHeight="1" x14ac:dyDescent="0.2">
      <c r="A30" s="286" t="s">
        <v>433</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0"/>
      <c r="Z30" s="20"/>
      <c r="AA30" s="20"/>
      <c r="AB30" s="20"/>
      <c r="AC30" s="20"/>
      <c r="AD30" s="20"/>
      <c r="AE30" s="20"/>
      <c r="AF30" s="20"/>
    </row>
    <row r="31" spans="1:58" s="21" customFormat="1" ht="27" customHeight="1" x14ac:dyDescent="0.2">
      <c r="A31" s="285" t="s">
        <v>535</v>
      </c>
      <c r="B31" s="285"/>
      <c r="C31" s="285"/>
      <c r="D31" s="285"/>
      <c r="E31" s="285"/>
      <c r="F31" s="285"/>
      <c r="G31" s="285"/>
      <c r="H31" s="285"/>
      <c r="I31" s="285"/>
      <c r="J31" s="285"/>
      <c r="K31" s="285"/>
      <c r="L31" s="285"/>
      <c r="M31" s="285"/>
      <c r="N31" s="285"/>
      <c r="O31" s="285"/>
      <c r="P31" s="285"/>
      <c r="Q31" s="285"/>
      <c r="R31" s="285"/>
      <c r="S31" s="285"/>
      <c r="T31" s="285"/>
      <c r="U31" s="285"/>
      <c r="V31" s="285"/>
      <c r="W31" s="285"/>
      <c r="X31" s="285"/>
      <c r="Y31" s="20"/>
      <c r="Z31" s="20"/>
      <c r="AA31" s="20"/>
      <c r="AB31" s="20"/>
      <c r="AC31" s="20"/>
      <c r="AD31" s="20"/>
      <c r="AE31" s="20"/>
      <c r="AF31" s="20"/>
    </row>
    <row r="32" spans="1:58" s="181" customFormat="1" ht="17.25" customHeight="1" x14ac:dyDescent="0.25">
      <c r="A32" s="298" t="s">
        <v>542</v>
      </c>
      <c r="B32" s="298"/>
      <c r="C32" s="298"/>
      <c r="D32" s="298"/>
      <c r="E32" s="298"/>
      <c r="F32" s="298"/>
      <c r="G32" s="304"/>
      <c r="H32" s="304"/>
      <c r="I32" s="304"/>
      <c r="J32" s="304"/>
      <c r="K32" s="180"/>
      <c r="L32" s="48"/>
      <c r="M32" s="48"/>
      <c r="N32" s="48"/>
      <c r="O32" s="299"/>
      <c r="P32" s="299"/>
      <c r="Q32" s="299"/>
      <c r="R32" s="179"/>
      <c r="S32" s="179"/>
      <c r="T32" s="179"/>
      <c r="U32" s="179"/>
      <c r="V32" s="179"/>
      <c r="W32" s="179"/>
      <c r="X32" s="179"/>
    </row>
    <row r="33" spans="1:46" s="181" customFormat="1" ht="16.899999999999999" customHeight="1" x14ac:dyDescent="0.25">
      <c r="A33" s="179"/>
      <c r="B33" s="179"/>
      <c r="C33" s="179"/>
      <c r="D33" s="179"/>
      <c r="E33" s="179"/>
      <c r="F33" s="179"/>
      <c r="G33" s="301" t="s">
        <v>538</v>
      </c>
      <c r="H33" s="301"/>
      <c r="I33" s="301"/>
      <c r="J33" s="301"/>
      <c r="K33" s="179"/>
      <c r="L33" s="179"/>
      <c r="M33" s="179"/>
      <c r="N33" s="179"/>
      <c r="O33" s="301" t="s">
        <v>539</v>
      </c>
      <c r="P33" s="301"/>
      <c r="Q33" s="301"/>
      <c r="R33" s="179"/>
      <c r="S33" s="179"/>
      <c r="T33" s="179"/>
      <c r="U33" s="179"/>
      <c r="V33" s="179"/>
      <c r="W33" s="179"/>
      <c r="X33" s="179"/>
    </row>
    <row r="34" spans="1:46" customFormat="1" ht="18.75" customHeight="1" x14ac:dyDescent="0.25">
      <c r="A34" s="298" t="s">
        <v>540</v>
      </c>
      <c r="B34" s="298"/>
      <c r="C34" s="298"/>
      <c r="D34" s="298"/>
      <c r="E34" s="298"/>
      <c r="F34" s="298"/>
      <c r="G34" s="299"/>
      <c r="H34" s="299"/>
      <c r="I34" s="299"/>
      <c r="J34" s="299"/>
      <c r="K34" s="182"/>
      <c r="L34" s="299"/>
      <c r="M34" s="299"/>
      <c r="N34" s="299"/>
      <c r="O34" s="299"/>
      <c r="P34" s="183"/>
      <c r="Q34" s="300"/>
      <c r="R34" s="300"/>
      <c r="S34" s="300"/>
      <c r="T34" s="300"/>
      <c r="U34" s="178"/>
      <c r="V34" s="178"/>
      <c r="W34" s="178"/>
      <c r="X34" s="178"/>
      <c r="Y34" s="178"/>
      <c r="Z34" s="178"/>
    </row>
    <row r="35" spans="1:46" customFormat="1" ht="15" customHeight="1" x14ac:dyDescent="0.25">
      <c r="A35" s="184"/>
      <c r="B35" s="184"/>
      <c r="C35" s="184"/>
      <c r="D35" s="184"/>
      <c r="E35" s="78"/>
      <c r="F35" s="78"/>
      <c r="G35" s="301" t="s">
        <v>538</v>
      </c>
      <c r="H35" s="301"/>
      <c r="I35" s="301"/>
      <c r="J35" s="301"/>
      <c r="K35" s="185"/>
      <c r="L35" s="302" t="s">
        <v>304</v>
      </c>
      <c r="M35" s="302"/>
      <c r="N35" s="302"/>
      <c r="O35" s="302"/>
      <c r="P35" s="138"/>
      <c r="Q35" s="303" t="s">
        <v>541</v>
      </c>
      <c r="R35" s="303"/>
      <c r="S35" s="303"/>
      <c r="T35" s="303"/>
      <c r="U35" s="178"/>
      <c r="V35" s="178"/>
      <c r="W35" s="178"/>
      <c r="X35" s="178"/>
      <c r="Y35" s="178"/>
      <c r="Z35" s="178"/>
    </row>
    <row r="36" spans="1:46" s="1" customFormat="1" ht="17.25" x14ac:dyDescent="0.3">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8"/>
      <c r="AK36" s="8"/>
      <c r="AL36" s="8"/>
      <c r="AM36" s="8"/>
      <c r="AN36" s="8"/>
      <c r="AO36" s="8"/>
      <c r="AP36" s="8"/>
      <c r="AQ36" s="8"/>
      <c r="AR36" s="8"/>
      <c r="AS36" s="8"/>
      <c r="AT36" s="8"/>
    </row>
  </sheetData>
  <mergeCells count="54">
    <mergeCell ref="L35:O35"/>
    <mergeCell ref="Q35:T35"/>
    <mergeCell ref="O32:Q32"/>
    <mergeCell ref="G33:J33"/>
    <mergeCell ref="O33:Q33"/>
    <mergeCell ref="G35:J35"/>
    <mergeCell ref="A34:F34"/>
    <mergeCell ref="G34:J34"/>
    <mergeCell ref="L34:O34"/>
    <mergeCell ref="Q34:T34"/>
    <mergeCell ref="C7:C10"/>
    <mergeCell ref="D7:D10"/>
    <mergeCell ref="E7:F8"/>
    <mergeCell ref="A32:F32"/>
    <mergeCell ref="G32:J32"/>
    <mergeCell ref="A26:AA26"/>
    <mergeCell ref="A28:X29"/>
    <mergeCell ref="A30:X30"/>
    <mergeCell ref="A31:X31"/>
    <mergeCell ref="A24:W24"/>
    <mergeCell ref="D2:Y2"/>
    <mergeCell ref="G7:H9"/>
    <mergeCell ref="I7:J9"/>
    <mergeCell ref="K7:L9"/>
    <mergeCell ref="AC7:AC10"/>
    <mergeCell ref="AA8:AA10"/>
    <mergeCell ref="AB8:AB10"/>
    <mergeCell ref="E9:E10"/>
    <mergeCell ref="F9:F10"/>
    <mergeCell ref="AA7:AB7"/>
    <mergeCell ref="E5:I5"/>
    <mergeCell ref="V7:V10"/>
    <mergeCell ref="W7:X9"/>
    <mergeCell ref="AI7:AI10"/>
    <mergeCell ref="AD7:AD10"/>
    <mergeCell ref="AF7:AF10"/>
    <mergeCell ref="AG7:AG10"/>
    <mergeCell ref="AH7:AH10"/>
    <mergeCell ref="D1:AA1"/>
    <mergeCell ref="AE7:AE10"/>
    <mergeCell ref="A27:X27"/>
    <mergeCell ref="Y7:Y10"/>
    <mergeCell ref="Z7:Z10"/>
    <mergeCell ref="A23:W23"/>
    <mergeCell ref="M7:N9"/>
    <mergeCell ref="O7:P9"/>
    <mergeCell ref="Q7:Q10"/>
    <mergeCell ref="R7:S9"/>
    <mergeCell ref="T7:U9"/>
    <mergeCell ref="A7:A10"/>
    <mergeCell ref="B7:B10"/>
    <mergeCell ref="B4:C4"/>
    <mergeCell ref="E4:I4"/>
    <mergeCell ref="K4:K5"/>
  </mergeCells>
  <printOptions horizontalCentered="1"/>
  <pageMargins left="0.31496062992126" right="0.31496062992126" top="0.66929133858267698" bottom="0.66929133858267698" header="0.31496062992126" footer="0.31496062992126"/>
  <pageSetup paperSize="8" scale="48" fitToWidth="2" fitToHeight="80" orientation="landscape" r:id="rId1"/>
  <headerFooter>
    <oddHeader>&amp;R&amp;10Tabelul nr.4</oddHeader>
    <oddFooter>&amp;R&amp;"-,полужирный"&amp;8&amp;P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N41"/>
  <sheetViews>
    <sheetView showZeros="0" view="pageBreakPreview" zoomScale="70" zoomScaleNormal="71" zoomScaleSheetLayoutView="70" workbookViewId="0">
      <pane xSplit="2" ySplit="13" topLeftCell="AB14" activePane="bottomRight" state="frozen"/>
      <selection activeCell="A32" sqref="A32:XFD35"/>
      <selection pane="topRight" activeCell="A32" sqref="A32:XFD35"/>
      <selection pane="bottomLeft" activeCell="A32" sqref="A32:XFD35"/>
      <selection pane="bottomRight" activeCell="G15" sqref="G15"/>
    </sheetView>
  </sheetViews>
  <sheetFormatPr defaultColWidth="8.85546875" defaultRowHeight="15" x14ac:dyDescent="0.25"/>
  <cols>
    <col min="1" max="1" width="6.140625" style="21" customWidth="1"/>
    <col min="2" max="2" width="19" style="21" customWidth="1"/>
    <col min="3" max="3" width="11.5703125" style="21" customWidth="1"/>
    <col min="4" max="4" width="14.5703125" style="21" customWidth="1"/>
    <col min="5" max="6" width="5.5703125" style="21" customWidth="1"/>
    <col min="7" max="7" width="8.28515625" style="21" customWidth="1"/>
    <col min="8" max="8" width="9.5703125" style="21" customWidth="1"/>
    <col min="9" max="9" width="8" style="21" customWidth="1"/>
    <col min="10" max="10" width="6.28515625" style="21" customWidth="1"/>
    <col min="11" max="11" width="8" style="21" customWidth="1"/>
    <col min="12" max="12" width="7" style="21" customWidth="1"/>
    <col min="13" max="13" width="10.140625" style="21" customWidth="1"/>
    <col min="14" max="14" width="8.85546875" style="21"/>
    <col min="15" max="15" width="5.7109375" style="21" customWidth="1"/>
    <col min="16" max="16" width="7" style="21" customWidth="1"/>
    <col min="17" max="17" width="5.7109375" style="21" customWidth="1"/>
    <col min="18" max="18" width="6.5703125" style="21" customWidth="1"/>
    <col min="19" max="19" width="7" style="21" customWidth="1"/>
    <col min="20" max="20" width="6.85546875" style="21" customWidth="1"/>
    <col min="21" max="21" width="6.28515625" style="21" customWidth="1"/>
    <col min="22" max="22" width="7.140625" style="21" customWidth="1"/>
    <col min="23" max="23" width="12" style="21" customWidth="1"/>
    <col min="24" max="24" width="7.140625" style="21" customWidth="1"/>
    <col min="25" max="25" width="5" style="21" customWidth="1"/>
    <col min="26" max="26" width="7.28515625" style="21" customWidth="1"/>
    <col min="27" max="27" width="10.7109375" style="21" customWidth="1"/>
    <col min="28" max="28" width="6.5703125" style="21" customWidth="1"/>
    <col min="29" max="29" width="7.7109375" style="21" customWidth="1"/>
    <col min="30" max="30" width="6.7109375" style="21" customWidth="1"/>
    <col min="31" max="31" width="7.28515625" style="21" customWidth="1"/>
    <col min="32" max="32" width="12.7109375" style="21" customWidth="1"/>
    <col min="33" max="33" width="13.42578125" style="21" customWidth="1"/>
    <col min="34" max="34" width="16.5703125" style="21" customWidth="1"/>
    <col min="35" max="35" width="9.28515625" style="21" customWidth="1"/>
    <col min="36" max="36" width="9.140625" style="21" customWidth="1"/>
    <col min="37" max="37" width="9.28515625" style="21" customWidth="1"/>
    <col min="38" max="38" width="12.7109375" style="21" customWidth="1"/>
    <col min="39" max="39" width="10.7109375" style="21" customWidth="1"/>
    <col min="40" max="40" width="15.7109375" style="21" customWidth="1"/>
    <col min="41" max="42" width="13.28515625" style="21" customWidth="1"/>
    <col min="43" max="43" width="6.28515625" style="21" customWidth="1"/>
    <col min="44" max="44" width="7.5703125" style="21" customWidth="1"/>
    <col min="45" max="45" width="10.28515625" style="21" customWidth="1"/>
    <col min="46" max="46" width="17" style="21" customWidth="1"/>
    <col min="47" max="47" width="16" style="21" customWidth="1"/>
    <col min="48" max="48" width="13.5703125" style="21" customWidth="1"/>
    <col min="49" max="49" width="11.7109375" style="21" customWidth="1"/>
    <col min="50" max="50" width="13.28515625" style="21" customWidth="1"/>
    <col min="51" max="51" width="9.28515625" style="21" customWidth="1"/>
    <col min="52" max="53" width="10.5703125" style="21" customWidth="1"/>
    <col min="54" max="55" width="11.28515625" style="21" customWidth="1"/>
    <col min="56" max="56" width="11.42578125" style="21" customWidth="1"/>
    <col min="57" max="57" width="10.85546875" style="21" customWidth="1"/>
    <col min="58" max="16384" width="8.85546875" style="8"/>
  </cols>
  <sheetData>
    <row r="1" spans="1:66" s="5" customFormat="1" ht="15.75" x14ac:dyDescent="0.25">
      <c r="A1" s="52"/>
      <c r="B1" s="50"/>
      <c r="C1" s="50"/>
      <c r="D1" s="52"/>
      <c r="E1" s="331" t="s">
        <v>441</v>
      </c>
      <c r="F1" s="331"/>
      <c r="G1" s="331"/>
      <c r="H1" s="331"/>
      <c r="I1" s="331"/>
      <c r="J1" s="331"/>
      <c r="K1" s="331"/>
      <c r="L1" s="331"/>
      <c r="M1" s="331"/>
      <c r="N1" s="331"/>
      <c r="O1" s="331"/>
      <c r="P1" s="331"/>
      <c r="Q1" s="331"/>
      <c r="R1" s="331"/>
      <c r="S1" s="331"/>
      <c r="T1" s="331"/>
      <c r="U1" s="331"/>
      <c r="V1" s="331"/>
      <c r="W1" s="331"/>
      <c r="X1" s="331"/>
      <c r="Y1" s="331"/>
      <c r="Z1" s="331"/>
      <c r="AA1" s="331"/>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3"/>
      <c r="BG1" s="3"/>
      <c r="BH1" s="3"/>
      <c r="BI1" s="3"/>
      <c r="BJ1" s="3"/>
      <c r="BK1" s="3"/>
      <c r="BL1" s="3"/>
      <c r="BM1" s="3"/>
      <c r="BN1" s="3"/>
    </row>
    <row r="2" spans="1:66" s="7" customFormat="1" ht="16.899999999999999" customHeight="1" x14ac:dyDescent="0.2">
      <c r="A2" s="21"/>
      <c r="B2" s="44"/>
      <c r="C2" s="21"/>
      <c r="D2" s="21"/>
      <c r="E2" s="58" t="s">
        <v>249</v>
      </c>
      <c r="F2" s="58"/>
      <c r="G2" s="58"/>
      <c r="H2" s="58"/>
      <c r="I2" s="58"/>
      <c r="J2" s="58"/>
      <c r="K2" s="58"/>
      <c r="L2" s="58"/>
      <c r="M2" s="58"/>
      <c r="N2" s="58"/>
      <c r="O2" s="58"/>
      <c r="P2" s="58"/>
      <c r="Q2" s="58"/>
      <c r="R2" s="58"/>
      <c r="S2" s="58"/>
      <c r="T2" s="58"/>
      <c r="U2" s="58"/>
      <c r="V2" s="59"/>
      <c r="W2" s="59"/>
      <c r="X2" s="51"/>
      <c r="Y2" s="51"/>
      <c r="Z2" s="51"/>
      <c r="AA2" s="54"/>
      <c r="AB2" s="54"/>
      <c r="AC2" s="54"/>
      <c r="AD2" s="54"/>
      <c r="AE2" s="54"/>
      <c r="AF2" s="54"/>
      <c r="AG2" s="54"/>
      <c r="AH2" s="54"/>
      <c r="AI2" s="54"/>
      <c r="AJ2" s="55"/>
      <c r="AK2" s="55"/>
      <c r="AL2" s="55"/>
      <c r="AM2" s="55"/>
      <c r="AN2" s="55"/>
      <c r="AO2" s="55"/>
      <c r="AP2" s="55"/>
      <c r="AQ2" s="20"/>
      <c r="AR2" s="20"/>
      <c r="AS2" s="20"/>
      <c r="AT2" s="20"/>
      <c r="AU2" s="20"/>
      <c r="AV2" s="20"/>
      <c r="AW2" s="20"/>
      <c r="AX2" s="20"/>
      <c r="AY2" s="20"/>
      <c r="AZ2" s="20"/>
      <c r="BA2" s="20"/>
      <c r="BB2" s="20"/>
      <c r="BC2" s="20"/>
      <c r="BD2" s="20"/>
      <c r="BE2" s="20"/>
    </row>
    <row r="3" spans="1:66" s="7" customFormat="1" ht="16.899999999999999" customHeight="1" x14ac:dyDescent="0.2">
      <c r="A3" s="21"/>
      <c r="B3" s="44"/>
      <c r="C3" s="21"/>
      <c r="D3" s="21"/>
      <c r="E3" s="58"/>
      <c r="F3" s="58"/>
      <c r="G3" s="58"/>
      <c r="H3" s="58"/>
      <c r="I3" s="58"/>
      <c r="J3" s="58"/>
      <c r="K3" s="58"/>
      <c r="L3" s="58"/>
      <c r="M3" s="58"/>
      <c r="N3" s="58"/>
      <c r="O3" s="58"/>
      <c r="P3" s="58"/>
      <c r="Q3" s="58"/>
      <c r="R3" s="58"/>
      <c r="S3" s="58"/>
      <c r="T3" s="58"/>
      <c r="U3" s="58"/>
      <c r="V3" s="59"/>
      <c r="W3" s="59"/>
      <c r="X3" s="51"/>
      <c r="Y3" s="51"/>
      <c r="Z3" s="51"/>
      <c r="AA3" s="54"/>
      <c r="AB3" s="54"/>
      <c r="AC3" s="54"/>
      <c r="AD3" s="54"/>
      <c r="AE3" s="54"/>
      <c r="AF3" s="54"/>
      <c r="AG3" s="54"/>
      <c r="AH3" s="54"/>
      <c r="AI3" s="54"/>
      <c r="AJ3" s="55"/>
      <c r="AK3" s="55"/>
      <c r="AL3" s="55"/>
      <c r="AM3" s="55"/>
      <c r="AN3" s="55"/>
      <c r="AO3" s="55"/>
      <c r="AP3" s="55"/>
      <c r="AQ3" s="20"/>
      <c r="AR3" s="20"/>
      <c r="AS3" s="20"/>
      <c r="AT3" s="20"/>
      <c r="AU3" s="20"/>
      <c r="AV3" s="20"/>
      <c r="AW3" s="20"/>
      <c r="AX3" s="20"/>
      <c r="AY3" s="20"/>
      <c r="AZ3" s="20"/>
      <c r="BA3" s="20"/>
      <c r="BB3" s="20"/>
      <c r="BC3" s="20"/>
      <c r="BD3" s="20"/>
      <c r="BE3" s="20"/>
    </row>
    <row r="4" spans="1:66" s="7" customFormat="1" ht="16.899999999999999" customHeight="1" x14ac:dyDescent="0.2">
      <c r="A4" s="21"/>
      <c r="B4" s="289" t="s">
        <v>307</v>
      </c>
      <c r="C4" s="289"/>
      <c r="D4" s="79"/>
      <c r="E4" s="289" t="s">
        <v>308</v>
      </c>
      <c r="F4" s="289"/>
      <c r="G4" s="289"/>
      <c r="H4" s="289"/>
      <c r="I4" s="289"/>
      <c r="J4" s="75"/>
      <c r="K4" s="296" t="s">
        <v>164</v>
      </c>
      <c r="L4" s="80" t="s">
        <v>309</v>
      </c>
      <c r="M4" s="80" t="s">
        <v>310</v>
      </c>
      <c r="N4" s="80" t="s">
        <v>311</v>
      </c>
      <c r="O4" s="80" t="s">
        <v>312</v>
      </c>
      <c r="P4" s="80" t="s">
        <v>313</v>
      </c>
      <c r="Q4" s="58"/>
      <c r="R4" s="58"/>
      <c r="S4" s="58"/>
      <c r="T4" s="58"/>
      <c r="U4" s="58"/>
      <c r="V4" s="59"/>
      <c r="W4" s="59"/>
      <c r="X4" s="51"/>
      <c r="Y4" s="51"/>
      <c r="Z4" s="51"/>
      <c r="AA4" s="54"/>
      <c r="AB4" s="54"/>
      <c r="AC4" s="54"/>
      <c r="AD4" s="54"/>
      <c r="AE4" s="54"/>
      <c r="AF4" s="54"/>
      <c r="AG4" s="54"/>
      <c r="AH4" s="54"/>
      <c r="AI4" s="54"/>
      <c r="AJ4" s="55"/>
      <c r="AK4" s="55"/>
      <c r="AL4" s="55"/>
      <c r="AM4" s="55"/>
      <c r="AN4" s="55"/>
      <c r="AO4" s="55"/>
      <c r="AP4" s="55"/>
      <c r="AQ4" s="20"/>
      <c r="AR4" s="20"/>
      <c r="AS4" s="20"/>
      <c r="AT4" s="20"/>
      <c r="AU4" s="20"/>
      <c r="AV4" s="20"/>
      <c r="AW4" s="20"/>
      <c r="AX4" s="20"/>
      <c r="AY4" s="20"/>
      <c r="AZ4" s="20"/>
      <c r="BA4" s="20"/>
      <c r="BB4" s="20"/>
      <c r="BC4" s="20"/>
      <c r="BD4" s="20"/>
      <c r="BE4" s="20"/>
    </row>
    <row r="5" spans="1:66" s="5" customFormat="1" ht="15.75" x14ac:dyDescent="0.25">
      <c r="A5" s="21"/>
      <c r="B5" s="32"/>
      <c r="C5" s="32"/>
      <c r="D5" s="32"/>
      <c r="E5" s="290" t="s">
        <v>314</v>
      </c>
      <c r="F5" s="290"/>
      <c r="G5" s="290"/>
      <c r="H5" s="290"/>
      <c r="I5" s="290"/>
      <c r="J5" s="32"/>
      <c r="K5" s="296"/>
      <c r="L5" s="81"/>
      <c r="M5" s="81"/>
      <c r="N5" s="81"/>
      <c r="O5" s="81"/>
      <c r="P5" s="81"/>
      <c r="Q5" s="29"/>
      <c r="R5" s="29"/>
      <c r="S5" s="21"/>
      <c r="T5" s="29"/>
      <c r="U5" s="332"/>
      <c r="V5" s="332"/>
      <c r="W5" s="21"/>
      <c r="X5" s="21"/>
      <c r="Y5" s="21"/>
      <c r="Z5" s="21"/>
      <c r="AA5" s="20"/>
      <c r="AB5" s="20"/>
      <c r="AC5" s="20"/>
      <c r="AD5" s="19"/>
      <c r="AE5" s="19"/>
      <c r="AF5" s="19"/>
      <c r="AG5" s="19"/>
      <c r="AH5" s="19"/>
      <c r="AI5" s="19"/>
      <c r="AJ5" s="19"/>
      <c r="AK5" s="19"/>
      <c r="AL5" s="19"/>
      <c r="AM5" s="20"/>
      <c r="AN5" s="20"/>
      <c r="AO5" s="20"/>
      <c r="AP5" s="20"/>
      <c r="AQ5" s="20"/>
      <c r="AR5" s="20"/>
      <c r="AS5" s="19"/>
      <c r="AT5" s="19"/>
      <c r="AU5" s="19"/>
      <c r="AV5" s="19"/>
      <c r="AW5" s="20"/>
      <c r="AX5" s="20"/>
      <c r="AY5" s="19"/>
      <c r="AZ5" s="19"/>
      <c r="BA5" s="19"/>
      <c r="BB5" s="20"/>
      <c r="BC5" s="19"/>
      <c r="BD5" s="19"/>
      <c r="BE5" s="100"/>
    </row>
    <row r="6" spans="1:66" s="65" customFormat="1" x14ac:dyDescent="0.25">
      <c r="A6" s="32"/>
      <c r="B6" s="32"/>
      <c r="C6" s="32"/>
      <c r="D6" s="32"/>
      <c r="E6" s="32"/>
      <c r="F6" s="32"/>
      <c r="G6" s="32"/>
      <c r="H6" s="32"/>
      <c r="I6" s="32"/>
      <c r="J6" s="32"/>
      <c r="K6" s="32"/>
      <c r="L6" s="32"/>
      <c r="M6" s="32"/>
      <c r="N6" s="32"/>
      <c r="O6" s="32"/>
      <c r="P6" s="34"/>
      <c r="Q6" s="32"/>
      <c r="R6" s="34"/>
      <c r="S6" s="34"/>
      <c r="T6" s="34"/>
      <c r="U6" s="34"/>
      <c r="V6" s="34"/>
      <c r="W6" s="32"/>
      <c r="X6" s="32"/>
      <c r="Y6" s="34"/>
      <c r="Z6" s="34"/>
      <c r="AA6" s="34"/>
      <c r="AB6" s="34"/>
      <c r="AC6" s="34"/>
      <c r="AD6" s="32"/>
      <c r="AE6" s="32"/>
      <c r="AF6" s="32"/>
      <c r="AG6" s="32"/>
      <c r="AH6" s="32"/>
      <c r="AI6" s="32"/>
      <c r="AJ6" s="32"/>
      <c r="AK6" s="32"/>
      <c r="AL6" s="32"/>
      <c r="AM6" s="32"/>
      <c r="AN6" s="32"/>
      <c r="AO6" s="32"/>
      <c r="AP6" s="32"/>
      <c r="AQ6" s="32"/>
      <c r="AR6" s="32"/>
      <c r="AS6" s="32"/>
      <c r="AT6" s="21"/>
      <c r="AU6" s="21"/>
      <c r="AV6" s="32"/>
      <c r="AW6" s="32"/>
      <c r="AX6" s="32"/>
      <c r="AY6" s="32"/>
      <c r="AZ6" s="32"/>
      <c r="BA6" s="32"/>
      <c r="BB6" s="32"/>
      <c r="BC6" s="32"/>
      <c r="BD6" s="32"/>
      <c r="BE6" s="32"/>
    </row>
    <row r="7" spans="1:66" s="61" customFormat="1" ht="59.45" customHeight="1" x14ac:dyDescent="0.25">
      <c r="A7" s="324" t="s">
        <v>2</v>
      </c>
      <c r="B7" s="324" t="s">
        <v>88</v>
      </c>
      <c r="C7" s="315" t="s">
        <v>170</v>
      </c>
      <c r="D7" s="324" t="s">
        <v>16</v>
      </c>
      <c r="E7" s="340" t="s">
        <v>0</v>
      </c>
      <c r="F7" s="340" t="s">
        <v>6</v>
      </c>
      <c r="G7" s="324" t="s">
        <v>169</v>
      </c>
      <c r="H7" s="324"/>
      <c r="I7" s="324" t="s">
        <v>305</v>
      </c>
      <c r="J7" s="324" t="s">
        <v>171</v>
      </c>
      <c r="K7" s="324"/>
      <c r="L7" s="324" t="s">
        <v>172</v>
      </c>
      <c r="M7" s="324"/>
      <c r="N7" s="324" t="s">
        <v>173</v>
      </c>
      <c r="O7" s="324" t="s">
        <v>174</v>
      </c>
      <c r="P7" s="324"/>
      <c r="Q7" s="324" t="s">
        <v>175</v>
      </c>
      <c r="R7" s="324"/>
      <c r="S7" s="341" t="s">
        <v>176</v>
      </c>
      <c r="T7" s="334"/>
      <c r="U7" s="341" t="s">
        <v>177</v>
      </c>
      <c r="V7" s="334"/>
      <c r="W7" s="324" t="s">
        <v>178</v>
      </c>
      <c r="X7" s="324"/>
      <c r="Y7" s="324" t="s">
        <v>179</v>
      </c>
      <c r="Z7" s="324"/>
      <c r="AA7" s="324" t="s">
        <v>180</v>
      </c>
      <c r="AB7" s="324" t="s">
        <v>248</v>
      </c>
      <c r="AC7" s="324"/>
      <c r="AD7" s="324" t="s">
        <v>181</v>
      </c>
      <c r="AE7" s="324"/>
      <c r="AF7" s="324" t="s">
        <v>168</v>
      </c>
      <c r="AG7" s="324"/>
      <c r="AH7" s="324"/>
      <c r="AI7" s="324" t="s">
        <v>456</v>
      </c>
      <c r="AJ7" s="324"/>
      <c r="AK7" s="341" t="s">
        <v>450</v>
      </c>
      <c r="AL7" s="345"/>
      <c r="AM7" s="334"/>
      <c r="AN7" s="315" t="s">
        <v>254</v>
      </c>
      <c r="AO7" s="324" t="s">
        <v>253</v>
      </c>
      <c r="AP7" s="333" t="s">
        <v>182</v>
      </c>
      <c r="AQ7" s="324" t="s">
        <v>448</v>
      </c>
      <c r="AR7" s="324"/>
      <c r="AS7" s="324" t="s">
        <v>183</v>
      </c>
      <c r="AT7" s="324"/>
      <c r="AU7" s="324" t="s">
        <v>184</v>
      </c>
      <c r="AV7" s="324" t="s">
        <v>185</v>
      </c>
      <c r="AW7" s="324" t="s">
        <v>186</v>
      </c>
      <c r="AX7" s="324"/>
      <c r="AY7" s="324" t="s">
        <v>442</v>
      </c>
      <c r="AZ7" s="315" t="s">
        <v>262</v>
      </c>
      <c r="BA7" s="315" t="s">
        <v>451</v>
      </c>
      <c r="BB7" s="324" t="s">
        <v>188</v>
      </c>
      <c r="BC7" s="344" t="s">
        <v>166</v>
      </c>
      <c r="BD7" s="344" t="s">
        <v>167</v>
      </c>
      <c r="BE7" s="324" t="s">
        <v>192</v>
      </c>
    </row>
    <row r="8" spans="1:66" s="61" customFormat="1" ht="21.6" customHeight="1" x14ac:dyDescent="0.25">
      <c r="A8" s="324"/>
      <c r="B8" s="324"/>
      <c r="C8" s="325"/>
      <c r="D8" s="324"/>
      <c r="E8" s="340"/>
      <c r="F8" s="340"/>
      <c r="G8" s="324"/>
      <c r="H8" s="324"/>
      <c r="I8" s="324"/>
      <c r="J8" s="324"/>
      <c r="K8" s="324"/>
      <c r="L8" s="324"/>
      <c r="M8" s="324"/>
      <c r="N8" s="324"/>
      <c r="O8" s="324"/>
      <c r="P8" s="324"/>
      <c r="Q8" s="324"/>
      <c r="R8" s="324"/>
      <c r="S8" s="342"/>
      <c r="T8" s="335"/>
      <c r="U8" s="342"/>
      <c r="V8" s="335"/>
      <c r="W8" s="324"/>
      <c r="X8" s="324"/>
      <c r="Y8" s="324"/>
      <c r="Z8" s="324"/>
      <c r="AA8" s="324"/>
      <c r="AB8" s="324"/>
      <c r="AC8" s="324"/>
      <c r="AD8" s="324"/>
      <c r="AE8" s="324"/>
      <c r="AF8" s="324"/>
      <c r="AG8" s="324"/>
      <c r="AH8" s="324"/>
      <c r="AI8" s="324"/>
      <c r="AJ8" s="324"/>
      <c r="AK8" s="315" t="s">
        <v>18</v>
      </c>
      <c r="AL8" s="346" t="s">
        <v>142</v>
      </c>
      <c r="AM8" s="347"/>
      <c r="AN8" s="325"/>
      <c r="AO8" s="324"/>
      <c r="AP8" s="333"/>
      <c r="AQ8" s="324"/>
      <c r="AR8" s="324"/>
      <c r="AS8" s="324"/>
      <c r="AT8" s="324"/>
      <c r="AU8" s="324"/>
      <c r="AV8" s="324"/>
      <c r="AW8" s="324"/>
      <c r="AX8" s="324"/>
      <c r="AY8" s="324"/>
      <c r="AZ8" s="325"/>
      <c r="BA8" s="325"/>
      <c r="BB8" s="324"/>
      <c r="BC8" s="344"/>
      <c r="BD8" s="344"/>
      <c r="BE8" s="324"/>
    </row>
    <row r="9" spans="1:66" s="61" customFormat="1" ht="42.75" customHeight="1" x14ac:dyDescent="0.25">
      <c r="A9" s="324"/>
      <c r="B9" s="324"/>
      <c r="C9" s="325"/>
      <c r="D9" s="324"/>
      <c r="E9" s="340"/>
      <c r="F9" s="340"/>
      <c r="G9" s="324"/>
      <c r="H9" s="324"/>
      <c r="I9" s="324"/>
      <c r="J9" s="324"/>
      <c r="K9" s="324"/>
      <c r="L9" s="324"/>
      <c r="M9" s="324"/>
      <c r="N9" s="324"/>
      <c r="O9" s="324"/>
      <c r="P9" s="324"/>
      <c r="Q9" s="324"/>
      <c r="R9" s="324"/>
      <c r="S9" s="342"/>
      <c r="T9" s="335"/>
      <c r="U9" s="342"/>
      <c r="V9" s="335"/>
      <c r="W9" s="324"/>
      <c r="X9" s="324"/>
      <c r="Y9" s="324"/>
      <c r="Z9" s="324"/>
      <c r="AA9" s="324"/>
      <c r="AB9" s="324"/>
      <c r="AC9" s="324"/>
      <c r="AD9" s="324"/>
      <c r="AE9" s="324"/>
      <c r="AF9" s="324"/>
      <c r="AG9" s="324"/>
      <c r="AH9" s="324"/>
      <c r="AI9" s="324" t="s">
        <v>17</v>
      </c>
      <c r="AJ9" s="324" t="s">
        <v>142</v>
      </c>
      <c r="AK9" s="325"/>
      <c r="AL9" s="315" t="s">
        <v>189</v>
      </c>
      <c r="AM9" s="315" t="s">
        <v>190</v>
      </c>
      <c r="AN9" s="325"/>
      <c r="AO9" s="324"/>
      <c r="AP9" s="333"/>
      <c r="AQ9" s="324"/>
      <c r="AR9" s="324"/>
      <c r="AS9" s="324"/>
      <c r="AT9" s="324"/>
      <c r="AU9" s="324"/>
      <c r="AV9" s="324"/>
      <c r="AW9" s="324" t="s">
        <v>15</v>
      </c>
      <c r="AX9" s="344" t="s">
        <v>449</v>
      </c>
      <c r="AY9" s="324"/>
      <c r="AZ9" s="325"/>
      <c r="BA9" s="325"/>
      <c r="BB9" s="324"/>
      <c r="BC9" s="344"/>
      <c r="BD9" s="344"/>
      <c r="BE9" s="324"/>
    </row>
    <row r="10" spans="1:66" s="61" customFormat="1" ht="67.150000000000006" customHeight="1" x14ac:dyDescent="0.25">
      <c r="A10" s="324"/>
      <c r="B10" s="324"/>
      <c r="C10" s="325"/>
      <c r="D10" s="324"/>
      <c r="E10" s="340"/>
      <c r="F10" s="340"/>
      <c r="G10" s="324" t="s">
        <v>421</v>
      </c>
      <c r="H10" s="324" t="s">
        <v>5</v>
      </c>
      <c r="I10" s="324"/>
      <c r="J10" s="324"/>
      <c r="K10" s="324"/>
      <c r="L10" s="324"/>
      <c r="M10" s="324"/>
      <c r="N10" s="324"/>
      <c r="O10" s="324"/>
      <c r="P10" s="324"/>
      <c r="Q10" s="324"/>
      <c r="R10" s="324"/>
      <c r="S10" s="342"/>
      <c r="T10" s="335"/>
      <c r="U10" s="342"/>
      <c r="V10" s="335"/>
      <c r="W10" s="324"/>
      <c r="X10" s="324"/>
      <c r="Y10" s="324"/>
      <c r="Z10" s="324"/>
      <c r="AA10" s="324"/>
      <c r="AB10" s="324"/>
      <c r="AC10" s="324"/>
      <c r="AD10" s="324"/>
      <c r="AE10" s="324"/>
      <c r="AF10" s="337" t="s">
        <v>298</v>
      </c>
      <c r="AG10" s="334" t="s">
        <v>297</v>
      </c>
      <c r="AH10" s="333" t="s">
        <v>191</v>
      </c>
      <c r="AI10" s="324"/>
      <c r="AJ10" s="324"/>
      <c r="AK10" s="325"/>
      <c r="AL10" s="325"/>
      <c r="AM10" s="325"/>
      <c r="AN10" s="325"/>
      <c r="AO10" s="324"/>
      <c r="AP10" s="333"/>
      <c r="AQ10" s="324"/>
      <c r="AR10" s="324"/>
      <c r="AS10" s="324"/>
      <c r="AT10" s="324"/>
      <c r="AU10" s="324"/>
      <c r="AV10" s="324"/>
      <c r="AW10" s="324"/>
      <c r="AX10" s="344"/>
      <c r="AY10" s="324"/>
      <c r="AZ10" s="325"/>
      <c r="BA10" s="325"/>
      <c r="BB10" s="324"/>
      <c r="BC10" s="344"/>
      <c r="BD10" s="344"/>
      <c r="BE10" s="324"/>
    </row>
    <row r="11" spans="1:66" s="61" customFormat="1" ht="41.25" customHeight="1" x14ac:dyDescent="0.25">
      <c r="A11" s="324"/>
      <c r="B11" s="324"/>
      <c r="C11" s="325"/>
      <c r="D11" s="324"/>
      <c r="E11" s="340"/>
      <c r="F11" s="340"/>
      <c r="G11" s="324"/>
      <c r="H11" s="324"/>
      <c r="I11" s="324"/>
      <c r="J11" s="324"/>
      <c r="K11" s="324"/>
      <c r="L11" s="324"/>
      <c r="M11" s="324"/>
      <c r="N11" s="324"/>
      <c r="O11" s="324"/>
      <c r="P11" s="324"/>
      <c r="Q11" s="324"/>
      <c r="R11" s="324"/>
      <c r="S11" s="343"/>
      <c r="T11" s="336"/>
      <c r="U11" s="343"/>
      <c r="V11" s="336"/>
      <c r="W11" s="324"/>
      <c r="X11" s="324"/>
      <c r="Y11" s="324"/>
      <c r="Z11" s="324"/>
      <c r="AA11" s="324"/>
      <c r="AB11" s="324"/>
      <c r="AC11" s="324"/>
      <c r="AD11" s="324"/>
      <c r="AE11" s="324"/>
      <c r="AF11" s="338"/>
      <c r="AG11" s="335"/>
      <c r="AH11" s="333"/>
      <c r="AI11" s="324"/>
      <c r="AJ11" s="324"/>
      <c r="AK11" s="325"/>
      <c r="AL11" s="325"/>
      <c r="AM11" s="325"/>
      <c r="AN11" s="325"/>
      <c r="AO11" s="324"/>
      <c r="AP11" s="333"/>
      <c r="AQ11" s="324"/>
      <c r="AR11" s="324"/>
      <c r="AS11" s="324"/>
      <c r="AT11" s="324"/>
      <c r="AU11" s="324"/>
      <c r="AV11" s="324"/>
      <c r="AW11" s="324"/>
      <c r="AX11" s="344"/>
      <c r="AY11" s="324"/>
      <c r="AZ11" s="325"/>
      <c r="BA11" s="325"/>
      <c r="BB11" s="324"/>
      <c r="BC11" s="344"/>
      <c r="BD11" s="344"/>
      <c r="BE11" s="324"/>
    </row>
    <row r="12" spans="1:66" s="61" customFormat="1" ht="38.25" x14ac:dyDescent="0.25">
      <c r="A12" s="324"/>
      <c r="B12" s="324"/>
      <c r="C12" s="316"/>
      <c r="D12" s="324"/>
      <c r="E12" s="340"/>
      <c r="F12" s="340"/>
      <c r="G12" s="324"/>
      <c r="H12" s="324"/>
      <c r="I12" s="324"/>
      <c r="J12" s="99" t="s">
        <v>1</v>
      </c>
      <c r="K12" s="99" t="s">
        <v>142</v>
      </c>
      <c r="L12" s="99" t="s">
        <v>1</v>
      </c>
      <c r="M12" s="99" t="s">
        <v>142</v>
      </c>
      <c r="N12" s="324"/>
      <c r="O12" s="99" t="s">
        <v>1</v>
      </c>
      <c r="P12" s="99" t="s">
        <v>142</v>
      </c>
      <c r="Q12" s="99" t="s">
        <v>1</v>
      </c>
      <c r="R12" s="99" t="s">
        <v>142</v>
      </c>
      <c r="S12" s="99" t="s">
        <v>7</v>
      </c>
      <c r="T12" s="99" t="s">
        <v>142</v>
      </c>
      <c r="U12" s="99" t="s">
        <v>8</v>
      </c>
      <c r="V12" s="99" t="s">
        <v>142</v>
      </c>
      <c r="W12" s="99" t="s">
        <v>23</v>
      </c>
      <c r="X12" s="99" t="s">
        <v>142</v>
      </c>
      <c r="Y12" s="99" t="s">
        <v>1</v>
      </c>
      <c r="Z12" s="99" t="s">
        <v>142</v>
      </c>
      <c r="AA12" s="324"/>
      <c r="AB12" s="99" t="s">
        <v>1</v>
      </c>
      <c r="AC12" s="99" t="s">
        <v>142</v>
      </c>
      <c r="AD12" s="99" t="s">
        <v>1</v>
      </c>
      <c r="AE12" s="99" t="s">
        <v>142</v>
      </c>
      <c r="AF12" s="339"/>
      <c r="AG12" s="336"/>
      <c r="AH12" s="333"/>
      <c r="AI12" s="324"/>
      <c r="AJ12" s="324"/>
      <c r="AK12" s="316"/>
      <c r="AL12" s="316"/>
      <c r="AM12" s="316"/>
      <c r="AN12" s="316"/>
      <c r="AO12" s="324"/>
      <c r="AP12" s="333"/>
      <c r="AQ12" s="99" t="s">
        <v>1</v>
      </c>
      <c r="AR12" s="99" t="s">
        <v>142</v>
      </c>
      <c r="AS12" s="99" t="s">
        <v>19</v>
      </c>
      <c r="AT12" s="99" t="s">
        <v>142</v>
      </c>
      <c r="AU12" s="324"/>
      <c r="AV12" s="324"/>
      <c r="AW12" s="324"/>
      <c r="AX12" s="344"/>
      <c r="AY12" s="324"/>
      <c r="AZ12" s="316"/>
      <c r="BA12" s="316"/>
      <c r="BB12" s="324"/>
      <c r="BC12" s="344"/>
      <c r="BD12" s="344"/>
      <c r="BE12" s="324"/>
    </row>
    <row r="13" spans="1:66" s="2" customFormat="1" ht="70.5" customHeight="1" x14ac:dyDescent="0.25">
      <c r="A13" s="13">
        <v>1</v>
      </c>
      <c r="B13" s="13">
        <v>2</v>
      </c>
      <c r="C13" s="13">
        <v>3</v>
      </c>
      <c r="D13" s="13">
        <v>4</v>
      </c>
      <c r="E13" s="13">
        <v>5</v>
      </c>
      <c r="F13" s="13">
        <v>6</v>
      </c>
      <c r="G13" s="13">
        <v>7</v>
      </c>
      <c r="H13" s="13" t="s">
        <v>24</v>
      </c>
      <c r="I13" s="13">
        <v>9</v>
      </c>
      <c r="J13" s="14">
        <v>10</v>
      </c>
      <c r="K13" s="13" t="s">
        <v>96</v>
      </c>
      <c r="L13" s="13">
        <v>12</v>
      </c>
      <c r="M13" s="13" t="s">
        <v>97</v>
      </c>
      <c r="N13" s="13" t="s">
        <v>98</v>
      </c>
      <c r="O13" s="14">
        <v>15</v>
      </c>
      <c r="P13" s="14" t="s">
        <v>99</v>
      </c>
      <c r="Q13" s="14">
        <v>17</v>
      </c>
      <c r="R13" s="14" t="s">
        <v>100</v>
      </c>
      <c r="S13" s="13">
        <v>19</v>
      </c>
      <c r="T13" s="13">
        <v>20</v>
      </c>
      <c r="U13" s="14">
        <v>21</v>
      </c>
      <c r="V13" s="13">
        <v>22</v>
      </c>
      <c r="W13" s="13">
        <v>23</v>
      </c>
      <c r="X13" s="13">
        <v>24</v>
      </c>
      <c r="Y13" s="13">
        <v>25</v>
      </c>
      <c r="Z13" s="13" t="s">
        <v>101</v>
      </c>
      <c r="AA13" s="13" t="s">
        <v>102</v>
      </c>
      <c r="AB13" s="13">
        <v>28</v>
      </c>
      <c r="AC13" s="13" t="s">
        <v>103</v>
      </c>
      <c r="AD13" s="14">
        <v>30</v>
      </c>
      <c r="AE13" s="14" t="s">
        <v>104</v>
      </c>
      <c r="AF13" s="13" t="s">
        <v>296</v>
      </c>
      <c r="AG13" s="13" t="s">
        <v>299</v>
      </c>
      <c r="AH13" s="13" t="s">
        <v>105</v>
      </c>
      <c r="AI13" s="13">
        <v>35</v>
      </c>
      <c r="AJ13" s="56" t="s">
        <v>263</v>
      </c>
      <c r="AK13" s="56">
        <v>37</v>
      </c>
      <c r="AL13" s="56" t="s">
        <v>264</v>
      </c>
      <c r="AM13" s="56" t="s">
        <v>265</v>
      </c>
      <c r="AN13" s="13" t="s">
        <v>255</v>
      </c>
      <c r="AO13" s="56" t="s">
        <v>256</v>
      </c>
      <c r="AP13" s="56" t="s">
        <v>257</v>
      </c>
      <c r="AQ13" s="13">
        <v>43</v>
      </c>
      <c r="AR13" s="13">
        <v>44</v>
      </c>
      <c r="AS13" s="56">
        <v>45</v>
      </c>
      <c r="AT13" s="56" t="s">
        <v>258</v>
      </c>
      <c r="AU13" s="13" t="s">
        <v>300</v>
      </c>
      <c r="AV13" s="15">
        <v>48</v>
      </c>
      <c r="AW13" s="14" t="s">
        <v>259</v>
      </c>
      <c r="AX13" s="16">
        <v>50</v>
      </c>
      <c r="AY13" s="13" t="s">
        <v>260</v>
      </c>
      <c r="AZ13" s="13" t="s">
        <v>261</v>
      </c>
      <c r="BA13" s="13">
        <v>53</v>
      </c>
      <c r="BB13" s="56" t="s">
        <v>370</v>
      </c>
      <c r="BC13" s="16" t="s">
        <v>443</v>
      </c>
      <c r="BD13" s="16" t="s">
        <v>444</v>
      </c>
      <c r="BE13" s="13" t="s">
        <v>371</v>
      </c>
    </row>
    <row r="14" spans="1:66" s="152" customFormat="1" ht="30" customHeight="1" x14ac:dyDescent="0.2">
      <c r="A14" s="130"/>
      <c r="B14" s="86" t="s">
        <v>424</v>
      </c>
      <c r="C14" s="148"/>
      <c r="D14" s="148"/>
      <c r="E14" s="148"/>
      <c r="F14" s="131">
        <f>SUM(F15:F16)</f>
        <v>1</v>
      </c>
      <c r="G14" s="216">
        <f t="shared" ref="G14:BE14" si="0">SUM(G15:G16)</f>
        <v>3220</v>
      </c>
      <c r="H14" s="216">
        <f t="shared" si="0"/>
        <v>3220</v>
      </c>
      <c r="I14" s="216">
        <f t="shared" si="0"/>
        <v>0</v>
      </c>
      <c r="J14" s="216">
        <f t="shared" si="0"/>
        <v>0</v>
      </c>
      <c r="K14" s="216">
        <f t="shared" si="0"/>
        <v>0</v>
      </c>
      <c r="L14" s="216">
        <f t="shared" si="0"/>
        <v>0</v>
      </c>
      <c r="M14" s="216">
        <f t="shared" si="0"/>
        <v>0</v>
      </c>
      <c r="N14" s="216">
        <f t="shared" si="0"/>
        <v>3220</v>
      </c>
      <c r="O14" s="216">
        <f t="shared" si="0"/>
        <v>0</v>
      </c>
      <c r="P14" s="216">
        <f t="shared" si="0"/>
        <v>0</v>
      </c>
      <c r="Q14" s="216">
        <f t="shared" si="0"/>
        <v>0</v>
      </c>
      <c r="R14" s="216">
        <f t="shared" si="0"/>
        <v>0</v>
      </c>
      <c r="S14" s="216">
        <f t="shared" si="0"/>
        <v>0</v>
      </c>
      <c r="T14" s="216">
        <f t="shared" si="0"/>
        <v>0</v>
      </c>
      <c r="U14" s="216">
        <f t="shared" si="0"/>
        <v>0</v>
      </c>
      <c r="V14" s="216">
        <f t="shared" si="0"/>
        <v>0</v>
      </c>
      <c r="W14" s="216">
        <f t="shared" si="0"/>
        <v>0</v>
      </c>
      <c r="X14" s="216">
        <f t="shared" si="0"/>
        <v>0</v>
      </c>
      <c r="Y14" s="216">
        <f t="shared" si="0"/>
        <v>0</v>
      </c>
      <c r="Z14" s="216">
        <f t="shared" si="0"/>
        <v>0</v>
      </c>
      <c r="AA14" s="216">
        <f t="shared" si="0"/>
        <v>0</v>
      </c>
      <c r="AB14" s="216">
        <f t="shared" si="0"/>
        <v>0</v>
      </c>
      <c r="AC14" s="216">
        <f t="shared" si="0"/>
        <v>0</v>
      </c>
      <c r="AD14" s="216">
        <f t="shared" si="0"/>
        <v>0</v>
      </c>
      <c r="AE14" s="216">
        <f t="shared" si="0"/>
        <v>0</v>
      </c>
      <c r="AF14" s="216">
        <f t="shared" si="0"/>
        <v>0</v>
      </c>
      <c r="AG14" s="216">
        <f t="shared" si="0"/>
        <v>0</v>
      </c>
      <c r="AH14" s="216">
        <f t="shared" si="0"/>
        <v>0</v>
      </c>
      <c r="AI14" s="216">
        <f t="shared" si="0"/>
        <v>0</v>
      </c>
      <c r="AJ14" s="216">
        <f t="shared" si="0"/>
        <v>0</v>
      </c>
      <c r="AK14" s="216">
        <f t="shared" si="0"/>
        <v>0</v>
      </c>
      <c r="AL14" s="216">
        <f t="shared" si="0"/>
        <v>0</v>
      </c>
      <c r="AM14" s="216">
        <f t="shared" si="0"/>
        <v>0</v>
      </c>
      <c r="AN14" s="216">
        <f t="shared" si="0"/>
        <v>0</v>
      </c>
      <c r="AO14" s="216">
        <f t="shared" si="0"/>
        <v>0</v>
      </c>
      <c r="AP14" s="216">
        <f t="shared" si="0"/>
        <v>0</v>
      </c>
      <c r="AQ14" s="216">
        <f t="shared" si="0"/>
        <v>0</v>
      </c>
      <c r="AR14" s="216">
        <f t="shared" si="0"/>
        <v>0</v>
      </c>
      <c r="AS14" s="216">
        <f t="shared" si="0"/>
        <v>0</v>
      </c>
      <c r="AT14" s="216">
        <f t="shared" si="0"/>
        <v>0</v>
      </c>
      <c r="AU14" s="217">
        <f t="shared" si="0"/>
        <v>3220</v>
      </c>
      <c r="AV14" s="217">
        <f t="shared" si="0"/>
        <v>1610</v>
      </c>
      <c r="AW14" s="217">
        <f t="shared" si="0"/>
        <v>1610</v>
      </c>
      <c r="AX14" s="217">
        <f t="shared" si="0"/>
        <v>1610</v>
      </c>
      <c r="AY14" s="217">
        <f t="shared" si="0"/>
        <v>3220</v>
      </c>
      <c r="AZ14" s="217">
        <f t="shared" si="0"/>
        <v>402.5</v>
      </c>
      <c r="BA14" s="217">
        <f t="shared" si="0"/>
        <v>0</v>
      </c>
      <c r="BB14" s="217">
        <f t="shared" si="0"/>
        <v>45.5</v>
      </c>
      <c r="BC14" s="217">
        <f t="shared" si="0"/>
        <v>10.1</v>
      </c>
      <c r="BD14" s="217">
        <f t="shared" si="0"/>
        <v>2</v>
      </c>
      <c r="BE14" s="217">
        <f t="shared" si="0"/>
        <v>57.6</v>
      </c>
    </row>
    <row r="15" spans="1:66" s="155" customFormat="1" ht="18" customHeight="1" x14ac:dyDescent="0.2">
      <c r="A15" s="153">
        <v>1</v>
      </c>
      <c r="B15" s="154"/>
      <c r="C15" s="99"/>
      <c r="D15" s="99"/>
      <c r="E15" s="99"/>
      <c r="F15" s="188">
        <v>1</v>
      </c>
      <c r="G15" s="218">
        <v>3220</v>
      </c>
      <c r="H15" s="218">
        <f>G15*F15</f>
        <v>3220</v>
      </c>
      <c r="I15" s="218"/>
      <c r="J15" s="218"/>
      <c r="K15" s="218"/>
      <c r="L15" s="218"/>
      <c r="M15" s="218"/>
      <c r="N15" s="17">
        <f t="shared" ref="N15:N16" si="1">H15+K15+M15</f>
        <v>3220</v>
      </c>
      <c r="O15" s="219"/>
      <c r="P15" s="17">
        <f t="shared" ref="P15:P16" si="2">N15*O15</f>
        <v>0</v>
      </c>
      <c r="Q15" s="219"/>
      <c r="R15" s="17">
        <f>N15*Q15</f>
        <v>0</v>
      </c>
      <c r="S15" s="220"/>
      <c r="T15" s="218"/>
      <c r="U15" s="220"/>
      <c r="V15" s="218"/>
      <c r="W15" s="189"/>
      <c r="X15" s="218"/>
      <c r="Y15" s="219"/>
      <c r="Z15" s="17">
        <f t="shared" ref="Z15:Z16" si="3">N15*Y15</f>
        <v>0</v>
      </c>
      <c r="AA15" s="218"/>
      <c r="AB15" s="219"/>
      <c r="AC15" s="17">
        <f t="shared" ref="AC15:AC16" si="4">N15*AB15</f>
        <v>0</v>
      </c>
      <c r="AD15" s="218"/>
      <c r="AE15" s="218"/>
      <c r="AF15" s="218"/>
      <c r="AG15" s="218"/>
      <c r="AH15" s="218"/>
      <c r="AI15" s="190"/>
      <c r="AJ15" s="17">
        <f t="shared" ref="AJ15:AJ16" si="5">I15*AI15*50%</f>
        <v>0</v>
      </c>
      <c r="AK15" s="190"/>
      <c r="AL15" s="221"/>
      <c r="AM15" s="221"/>
      <c r="AN15" s="218"/>
      <c r="AO15" s="221"/>
      <c r="AP15" s="221"/>
      <c r="AQ15" s="218"/>
      <c r="AR15" s="218"/>
      <c r="AS15" s="221"/>
      <c r="AT15" s="221"/>
      <c r="AU15" s="201">
        <f>N15+P15+R15+T15+V15+X15+Z15+AA15+AC15+AE15+AF15+AG15+AH15+AJ15+AL15+AM15+AN15+AO15+AP15+AR15</f>
        <v>3220</v>
      </c>
      <c r="AV15" s="222">
        <f>AU15/2</f>
        <v>1610</v>
      </c>
      <c r="AW15" s="223">
        <f>AU15-AV15-AT15</f>
        <v>1610</v>
      </c>
      <c r="AX15" s="204">
        <f t="shared" ref="AX15:AX16" si="6">IF(AW15&gt;6650*F15,6650*F15,AW15)</f>
        <v>1610</v>
      </c>
      <c r="AY15" s="201">
        <f t="shared" ref="AY15:AY16" si="7">N15</f>
        <v>3220</v>
      </c>
      <c r="AZ15" s="201">
        <f t="shared" ref="AZ15:AZ16" si="8">ROUND((AY15+AV15)/12,1)</f>
        <v>402.5</v>
      </c>
      <c r="BA15" s="223"/>
      <c r="BB15" s="201">
        <f t="shared" ref="BB15:BB16" si="9">ROUND((AU15*12+AV15+AW15+AY15+AZ15+BA15)/1000,1)</f>
        <v>45.5</v>
      </c>
      <c r="BC15" s="201">
        <f t="shared" ref="BC15:BC16" si="10">ROUND((BB15-AX15/1000)*23%,1)</f>
        <v>10.1</v>
      </c>
      <c r="BD15" s="201">
        <f t="shared" ref="BD15:BD16" si="11">ROUND(BB15*4.5%,1)</f>
        <v>2</v>
      </c>
      <c r="BE15" s="201">
        <f t="shared" ref="BE15:BE16" si="12">BB15+BC15+BD15</f>
        <v>57.6</v>
      </c>
    </row>
    <row r="16" spans="1:66" s="2" customFormat="1" ht="16.5" customHeight="1" x14ac:dyDescent="0.2">
      <c r="A16" s="156">
        <v>2</v>
      </c>
      <c r="B16" s="13"/>
      <c r="C16" s="13"/>
      <c r="D16" s="13"/>
      <c r="E16" s="13"/>
      <c r="F16" s="191"/>
      <c r="G16" s="224"/>
      <c r="H16" s="224"/>
      <c r="I16" s="224"/>
      <c r="J16" s="225"/>
      <c r="K16" s="224"/>
      <c r="L16" s="224"/>
      <c r="M16" s="224"/>
      <c r="N16" s="17">
        <f t="shared" si="1"/>
        <v>0</v>
      </c>
      <c r="O16" s="226"/>
      <c r="P16" s="17">
        <f t="shared" si="2"/>
        <v>0</v>
      </c>
      <c r="Q16" s="226"/>
      <c r="R16" s="17">
        <f t="shared" ref="R16" si="13">N16*Q16</f>
        <v>0</v>
      </c>
      <c r="S16" s="227"/>
      <c r="T16" s="224"/>
      <c r="U16" s="228"/>
      <c r="V16" s="224"/>
      <c r="W16" s="189"/>
      <c r="X16" s="224"/>
      <c r="Y16" s="229"/>
      <c r="Z16" s="17">
        <f t="shared" si="3"/>
        <v>0</v>
      </c>
      <c r="AA16" s="224"/>
      <c r="AB16" s="229"/>
      <c r="AC16" s="17">
        <f t="shared" si="4"/>
        <v>0</v>
      </c>
      <c r="AD16" s="225"/>
      <c r="AE16" s="225"/>
      <c r="AF16" s="224"/>
      <c r="AG16" s="224"/>
      <c r="AH16" s="224"/>
      <c r="AI16" s="190"/>
      <c r="AJ16" s="17">
        <f t="shared" si="5"/>
        <v>0</v>
      </c>
      <c r="AK16" s="190"/>
      <c r="AL16" s="230"/>
      <c r="AM16" s="230"/>
      <c r="AN16" s="224"/>
      <c r="AO16" s="230"/>
      <c r="AP16" s="230"/>
      <c r="AQ16" s="224"/>
      <c r="AR16" s="224"/>
      <c r="AS16" s="230"/>
      <c r="AT16" s="230"/>
      <c r="AU16" s="201">
        <f>N16+P16+R16+T16+V16+X16+Z16+AA16+AC16+AE16+AF16+AG16+AH16+AJ16+AL16+AM16+AN16+AO16+AP16+AR16</f>
        <v>0</v>
      </c>
      <c r="AV16" s="222">
        <f>AU16/2</f>
        <v>0</v>
      </c>
      <c r="AW16" s="223">
        <f t="shared" ref="AW16:AW26" si="14">AU16-AV16-AT16</f>
        <v>0</v>
      </c>
      <c r="AX16" s="204">
        <f t="shared" si="6"/>
        <v>0</v>
      </c>
      <c r="AY16" s="201">
        <f t="shared" si="7"/>
        <v>0</v>
      </c>
      <c r="AZ16" s="201">
        <f t="shared" si="8"/>
        <v>0</v>
      </c>
      <c r="BA16" s="231"/>
      <c r="BB16" s="201">
        <f t="shared" si="9"/>
        <v>0</v>
      </c>
      <c r="BC16" s="201">
        <f t="shared" si="10"/>
        <v>0</v>
      </c>
      <c r="BD16" s="201">
        <f t="shared" si="11"/>
        <v>0</v>
      </c>
      <c r="BE16" s="201">
        <f t="shared" si="12"/>
        <v>0</v>
      </c>
    </row>
    <row r="17" spans="1:57" s="157" customFormat="1" ht="38.25" customHeight="1" x14ac:dyDescent="0.25">
      <c r="A17" s="84"/>
      <c r="B17" s="86" t="s">
        <v>427</v>
      </c>
      <c r="C17" s="84"/>
      <c r="D17" s="84"/>
      <c r="E17" s="84"/>
      <c r="F17" s="193">
        <f t="shared" ref="F17:BD17" si="15">SUM(F18:F26)</f>
        <v>1</v>
      </c>
      <c r="G17" s="193">
        <f t="shared" si="15"/>
        <v>1430</v>
      </c>
      <c r="H17" s="193">
        <f t="shared" si="15"/>
        <v>1430</v>
      </c>
      <c r="I17" s="193">
        <f t="shared" si="15"/>
        <v>25</v>
      </c>
      <c r="J17" s="193"/>
      <c r="K17" s="193">
        <f t="shared" si="15"/>
        <v>572</v>
      </c>
      <c r="L17" s="193"/>
      <c r="M17" s="193">
        <f t="shared" si="15"/>
        <v>143</v>
      </c>
      <c r="N17" s="193">
        <f t="shared" si="15"/>
        <v>2145</v>
      </c>
      <c r="O17" s="193"/>
      <c r="P17" s="193">
        <f t="shared" si="15"/>
        <v>429</v>
      </c>
      <c r="Q17" s="193"/>
      <c r="R17" s="193">
        <f t="shared" si="15"/>
        <v>214.5</v>
      </c>
      <c r="S17" s="193">
        <f t="shared" si="15"/>
        <v>0</v>
      </c>
      <c r="T17" s="193">
        <f t="shared" si="15"/>
        <v>600</v>
      </c>
      <c r="U17" s="193">
        <f t="shared" si="15"/>
        <v>0</v>
      </c>
      <c r="V17" s="193">
        <f t="shared" si="15"/>
        <v>100</v>
      </c>
      <c r="W17" s="193">
        <f t="shared" si="15"/>
        <v>0</v>
      </c>
      <c r="X17" s="193">
        <f t="shared" si="15"/>
        <v>0</v>
      </c>
      <c r="Y17" s="193"/>
      <c r="Z17" s="193">
        <f t="shared" si="15"/>
        <v>321.8</v>
      </c>
      <c r="AA17" s="193">
        <f t="shared" si="15"/>
        <v>643.5</v>
      </c>
      <c r="AB17" s="193"/>
      <c r="AC17" s="193">
        <f t="shared" si="15"/>
        <v>643.5</v>
      </c>
      <c r="AD17" s="193"/>
      <c r="AE17" s="193">
        <f t="shared" si="15"/>
        <v>429</v>
      </c>
      <c r="AF17" s="193">
        <f t="shared" si="15"/>
        <v>0</v>
      </c>
      <c r="AG17" s="193">
        <f t="shared" si="15"/>
        <v>0</v>
      </c>
      <c r="AH17" s="193">
        <f t="shared" si="15"/>
        <v>429</v>
      </c>
      <c r="AI17" s="193">
        <f t="shared" si="15"/>
        <v>5</v>
      </c>
      <c r="AJ17" s="193">
        <f t="shared" si="15"/>
        <v>62.5</v>
      </c>
      <c r="AK17" s="193">
        <f t="shared" si="15"/>
        <v>8</v>
      </c>
      <c r="AL17" s="193">
        <f t="shared" si="15"/>
        <v>200</v>
      </c>
      <c r="AM17" s="193">
        <f t="shared" si="15"/>
        <v>100</v>
      </c>
      <c r="AN17" s="193">
        <f t="shared" si="15"/>
        <v>1072.5</v>
      </c>
      <c r="AO17" s="193">
        <f t="shared" si="15"/>
        <v>429</v>
      </c>
      <c r="AP17" s="193">
        <f t="shared" si="15"/>
        <v>214.5</v>
      </c>
      <c r="AQ17" s="193">
        <f t="shared" si="15"/>
        <v>0</v>
      </c>
      <c r="AR17" s="193">
        <f t="shared" si="15"/>
        <v>0</v>
      </c>
      <c r="AS17" s="193">
        <f t="shared" si="15"/>
        <v>1</v>
      </c>
      <c r="AT17" s="193">
        <f t="shared" si="15"/>
        <v>669.5</v>
      </c>
      <c r="AU17" s="207">
        <f t="shared" si="15"/>
        <v>8703.2999999999993</v>
      </c>
      <c r="AV17" s="207">
        <f t="shared" si="15"/>
        <v>6500</v>
      </c>
      <c r="AW17" s="207">
        <f t="shared" si="15"/>
        <v>1533.7999999999993</v>
      </c>
      <c r="AX17" s="207">
        <f t="shared" si="15"/>
        <v>1533.7999999999993</v>
      </c>
      <c r="AY17" s="207">
        <f t="shared" si="15"/>
        <v>2145</v>
      </c>
      <c r="AZ17" s="207">
        <f t="shared" si="15"/>
        <v>720.4</v>
      </c>
      <c r="BA17" s="207">
        <f t="shared" si="15"/>
        <v>3500</v>
      </c>
      <c r="BB17" s="207">
        <f t="shared" si="15"/>
        <v>118.8</v>
      </c>
      <c r="BC17" s="207">
        <f t="shared" si="15"/>
        <v>27</v>
      </c>
      <c r="BD17" s="207">
        <f t="shared" si="15"/>
        <v>5.3</v>
      </c>
      <c r="BE17" s="207">
        <f>SUM(BE18:BE26)</f>
        <v>151.10000000000002</v>
      </c>
    </row>
    <row r="18" spans="1:57" s="65" customFormat="1" ht="14.45" customHeight="1" x14ac:dyDescent="0.25">
      <c r="A18" s="18">
        <v>1</v>
      </c>
      <c r="B18" s="18" t="s">
        <v>395</v>
      </c>
      <c r="C18" s="18"/>
      <c r="D18" s="18"/>
      <c r="E18" s="18">
        <v>16</v>
      </c>
      <c r="F18" s="17">
        <v>1</v>
      </c>
      <c r="G18" s="17">
        <v>1430</v>
      </c>
      <c r="H18" s="81">
        <f>F18*G18</f>
        <v>1430</v>
      </c>
      <c r="I18" s="17">
        <v>25</v>
      </c>
      <c r="J18" s="194">
        <v>0.4</v>
      </c>
      <c r="K18" s="17">
        <f>H18*J18</f>
        <v>572</v>
      </c>
      <c r="L18" s="194">
        <f>10%</f>
        <v>0.1</v>
      </c>
      <c r="M18" s="17">
        <f>H18*L18</f>
        <v>143</v>
      </c>
      <c r="N18" s="17">
        <f>H18+K18+M18</f>
        <v>2145</v>
      </c>
      <c r="O18" s="194">
        <f>20%</f>
        <v>0.2</v>
      </c>
      <c r="P18" s="17">
        <f>N18*O18</f>
        <v>429</v>
      </c>
      <c r="Q18" s="194">
        <f>10%</f>
        <v>0.1</v>
      </c>
      <c r="R18" s="17">
        <f>N18*Q18</f>
        <v>214.5</v>
      </c>
      <c r="S18" s="195" t="s">
        <v>436</v>
      </c>
      <c r="T18" s="17">
        <v>600</v>
      </c>
      <c r="U18" s="195" t="s">
        <v>437</v>
      </c>
      <c r="V18" s="17">
        <v>100</v>
      </c>
      <c r="W18" s="189"/>
      <c r="X18" s="17"/>
      <c r="Y18" s="194">
        <v>0.15</v>
      </c>
      <c r="Z18" s="17">
        <f>ROUND(N18*Y18,1)</f>
        <v>321.8</v>
      </c>
      <c r="AA18" s="17">
        <f>ROUND(N18*30%,1)</f>
        <v>643.5</v>
      </c>
      <c r="AB18" s="194">
        <f>30%</f>
        <v>0.3</v>
      </c>
      <c r="AC18" s="17">
        <f>ROUND(N18*AB18,1)</f>
        <v>643.5</v>
      </c>
      <c r="AD18" s="194">
        <f>20%</f>
        <v>0.2</v>
      </c>
      <c r="AE18" s="17">
        <f>ROUND(N18*AD18,1)</f>
        <v>429</v>
      </c>
      <c r="AF18" s="17"/>
      <c r="AG18" s="17"/>
      <c r="AH18" s="17">
        <f>N18*20%</f>
        <v>429</v>
      </c>
      <c r="AI18" s="190">
        <v>5</v>
      </c>
      <c r="AJ18" s="17">
        <f>ROUND(I18*AI18*50%,1)</f>
        <v>62.5</v>
      </c>
      <c r="AK18" s="190">
        <v>8</v>
      </c>
      <c r="AL18" s="17">
        <f>I18*AK18</f>
        <v>200</v>
      </c>
      <c r="AM18" s="17">
        <f>I18*AK18*50%</f>
        <v>100</v>
      </c>
      <c r="AN18" s="17">
        <f>N18*50%</f>
        <v>1072.5</v>
      </c>
      <c r="AO18" s="17">
        <f>N18*20%</f>
        <v>429</v>
      </c>
      <c r="AP18" s="17">
        <f>N18*10%</f>
        <v>214.5</v>
      </c>
      <c r="AQ18" s="17"/>
      <c r="AR18" s="17"/>
      <c r="AS18" s="17">
        <v>1</v>
      </c>
      <c r="AT18" s="17">
        <f>ROUND((N18+P18+R18+T18+V18+X18+Z18+AA18+AC18+AE18+AG18+AH18+AJ18+AL18+AM18+AN18+AO18+AP18+AR18)*AS18/12,1)</f>
        <v>669.5</v>
      </c>
      <c r="AU18" s="201">
        <f>ROUND(N18+P18+R18+T18+V18+X18+Z18+AA18+AC18+AE18+AF18+AG18+AH18+AJ18+AL18+AM18+AN18+AO18+AP18+AR18+AT18,1)</f>
        <v>8703.2999999999993</v>
      </c>
      <c r="AV18" s="201">
        <v>6500</v>
      </c>
      <c r="AW18" s="223">
        <f>AU18-AV18-AT18</f>
        <v>1533.7999999999993</v>
      </c>
      <c r="AX18" s="204">
        <f>IF(AW18&gt;6650*F18,6650*F18,AW18)</f>
        <v>1533.7999999999993</v>
      </c>
      <c r="AY18" s="201">
        <f>N18</f>
        <v>2145</v>
      </c>
      <c r="AZ18" s="201">
        <f>ROUND((AY18+AV18)/12,1)</f>
        <v>720.4</v>
      </c>
      <c r="BA18" s="201">
        <v>3500</v>
      </c>
      <c r="BB18" s="201">
        <f>ROUND((AU18*12+AV18+AW18+AY18+AZ18+BA18)/1000,1)</f>
        <v>118.8</v>
      </c>
      <c r="BC18" s="201">
        <f>ROUND((BB18-AX18/1000)*23%,1)</f>
        <v>27</v>
      </c>
      <c r="BD18" s="201">
        <f>ROUND(BB18*4.5%,1)</f>
        <v>5.3</v>
      </c>
      <c r="BE18" s="201">
        <f>BB18+BC18+BD18</f>
        <v>151.10000000000002</v>
      </c>
    </row>
    <row r="19" spans="1:57" s="65" customFormat="1" x14ac:dyDescent="0.25">
      <c r="A19" s="18">
        <v>2</v>
      </c>
      <c r="B19" s="18"/>
      <c r="C19" s="18"/>
      <c r="D19" s="18"/>
      <c r="E19" s="18"/>
      <c r="F19" s="17"/>
      <c r="G19" s="17"/>
      <c r="H19" s="81">
        <f t="shared" ref="H19:H26" si="16">F19*G19</f>
        <v>0</v>
      </c>
      <c r="I19" s="17"/>
      <c r="J19" s="194"/>
      <c r="K19" s="17">
        <f t="shared" ref="K19:K26" si="17">H19*J19</f>
        <v>0</v>
      </c>
      <c r="L19" s="194"/>
      <c r="M19" s="17">
        <f t="shared" ref="M19:M26" si="18">H19*L19</f>
        <v>0</v>
      </c>
      <c r="N19" s="17">
        <f t="shared" ref="N19:N26" si="19">H19+K19+M19</f>
        <v>0</v>
      </c>
      <c r="O19" s="194"/>
      <c r="P19" s="17">
        <f t="shared" ref="P19:P26" si="20">N19*O19</f>
        <v>0</v>
      </c>
      <c r="Q19" s="194"/>
      <c r="R19" s="17">
        <f t="shared" ref="R19:R26" si="21">N19*Q19</f>
        <v>0</v>
      </c>
      <c r="S19" s="195"/>
      <c r="T19" s="17"/>
      <c r="U19" s="195"/>
      <c r="V19" s="17"/>
      <c r="W19" s="189"/>
      <c r="X19" s="17"/>
      <c r="Y19" s="194"/>
      <c r="Z19" s="17">
        <f t="shared" ref="Z19:Z26" si="22">ROUND(N19*Y19,1)</f>
        <v>0</v>
      </c>
      <c r="AA19" s="17">
        <f t="shared" ref="AA19:AA26" si="23">ROUND(N19*30%,1)</f>
        <v>0</v>
      </c>
      <c r="AB19" s="194"/>
      <c r="AC19" s="17">
        <f t="shared" ref="AC19:AC26" si="24">ROUND(N19*AB19,1)</f>
        <v>0</v>
      </c>
      <c r="AD19" s="194"/>
      <c r="AE19" s="17">
        <f t="shared" ref="AE19:AE26" si="25">ROUND(N19*AD19,1)</f>
        <v>0</v>
      </c>
      <c r="AF19" s="17"/>
      <c r="AG19" s="17"/>
      <c r="AH19" s="17">
        <f t="shared" ref="AH19:AH26" si="26">N19*20%</f>
        <v>0</v>
      </c>
      <c r="AI19" s="190"/>
      <c r="AJ19" s="17">
        <f t="shared" ref="AJ19:AJ26" si="27">ROUND(I19*AI19*50%,1)</f>
        <v>0</v>
      </c>
      <c r="AK19" s="190"/>
      <c r="AL19" s="17"/>
      <c r="AM19" s="17"/>
      <c r="AN19" s="17">
        <f t="shared" ref="AN19:AN26" si="28">N19*50%</f>
        <v>0</v>
      </c>
      <c r="AO19" s="17">
        <f t="shared" ref="AO19:AO26" si="29">N19*20%</f>
        <v>0</v>
      </c>
      <c r="AP19" s="17">
        <f t="shared" ref="AP19:AP26" si="30">N19*10%</f>
        <v>0</v>
      </c>
      <c r="AQ19" s="17"/>
      <c r="AR19" s="17"/>
      <c r="AS19" s="17"/>
      <c r="AT19" s="17">
        <f>ROUND((N19+P19+R19+T19+V19+X19+Z19+AA19+AC19+AE19+AG19+AH19+AJ19+AL19+AM19+AN19+AO19+AP19+AR19)*AS19/12,1)</f>
        <v>0</v>
      </c>
      <c r="AU19" s="201">
        <f t="shared" ref="AU19:AU26" si="31">ROUND(N19+P19+R19+T19+V19+X19+Z19+AA19+AC19+AE19+AF19+AG19+AH19+AJ19+AL19+AM19+AN19+AO19+AP19+AR19+AT19,1)</f>
        <v>0</v>
      </c>
      <c r="AV19" s="201"/>
      <c r="AW19" s="223">
        <f t="shared" si="14"/>
        <v>0</v>
      </c>
      <c r="AX19" s="204">
        <f t="shared" ref="AX19:AX26" si="32">IF(AW19&gt;6650*F19,6650*F19,AW19)</f>
        <v>0</v>
      </c>
      <c r="AY19" s="201">
        <f t="shared" ref="AY19:AY26" si="33">N19</f>
        <v>0</v>
      </c>
      <c r="AZ19" s="201">
        <f t="shared" ref="AZ19:AZ26" si="34">ROUND((AY19+AV19)/12,1)</f>
        <v>0</v>
      </c>
      <c r="BA19" s="201"/>
      <c r="BB19" s="201">
        <f t="shared" ref="BB19:BB26" si="35">ROUND((AU19*12+AV19+AW19+AY19+AZ19+BA19)/1000,1)</f>
        <v>0</v>
      </c>
      <c r="BC19" s="201">
        <f t="shared" ref="BC19:BC26" si="36">ROUND((BB19-AX19/1000)*23%,1)</f>
        <v>0</v>
      </c>
      <c r="BD19" s="201">
        <f t="shared" ref="BD19:BD26" si="37">ROUND(BB19*4.5%,1)</f>
        <v>0</v>
      </c>
      <c r="BE19" s="201">
        <f t="shared" ref="BE19:BE26" si="38">BB19+BC19+BD19</f>
        <v>0</v>
      </c>
    </row>
    <row r="20" spans="1:57" s="65" customFormat="1" ht="14.45" customHeight="1" x14ac:dyDescent="0.25">
      <c r="A20" s="18">
        <v>3</v>
      </c>
      <c r="B20" s="18"/>
      <c r="C20" s="18"/>
      <c r="D20" s="18"/>
      <c r="E20" s="18"/>
      <c r="F20" s="17"/>
      <c r="G20" s="17"/>
      <c r="H20" s="81">
        <f t="shared" si="16"/>
        <v>0</v>
      </c>
      <c r="I20" s="17"/>
      <c r="J20" s="194"/>
      <c r="K20" s="17">
        <f t="shared" si="17"/>
        <v>0</v>
      </c>
      <c r="L20" s="194"/>
      <c r="M20" s="17">
        <f t="shared" si="18"/>
        <v>0</v>
      </c>
      <c r="N20" s="17">
        <f t="shared" si="19"/>
        <v>0</v>
      </c>
      <c r="O20" s="194"/>
      <c r="P20" s="17">
        <f t="shared" si="20"/>
        <v>0</v>
      </c>
      <c r="Q20" s="194"/>
      <c r="R20" s="17">
        <f t="shared" si="21"/>
        <v>0</v>
      </c>
      <c r="S20" s="195"/>
      <c r="T20" s="17"/>
      <c r="U20" s="195"/>
      <c r="V20" s="17"/>
      <c r="W20" s="189"/>
      <c r="X20" s="17"/>
      <c r="Y20" s="194"/>
      <c r="Z20" s="17">
        <f t="shared" si="22"/>
        <v>0</v>
      </c>
      <c r="AA20" s="17">
        <f t="shared" si="23"/>
        <v>0</v>
      </c>
      <c r="AB20" s="194"/>
      <c r="AC20" s="17">
        <f t="shared" si="24"/>
        <v>0</v>
      </c>
      <c r="AD20" s="194"/>
      <c r="AE20" s="17">
        <f t="shared" si="25"/>
        <v>0</v>
      </c>
      <c r="AF20" s="17"/>
      <c r="AG20" s="17"/>
      <c r="AH20" s="17">
        <f t="shared" si="26"/>
        <v>0</v>
      </c>
      <c r="AI20" s="190"/>
      <c r="AJ20" s="17">
        <f t="shared" si="27"/>
        <v>0</v>
      </c>
      <c r="AK20" s="190"/>
      <c r="AL20" s="17"/>
      <c r="AM20" s="17"/>
      <c r="AN20" s="17">
        <f t="shared" si="28"/>
        <v>0</v>
      </c>
      <c r="AO20" s="17">
        <f t="shared" si="29"/>
        <v>0</v>
      </c>
      <c r="AP20" s="17">
        <f t="shared" si="30"/>
        <v>0</v>
      </c>
      <c r="AQ20" s="17"/>
      <c r="AR20" s="17"/>
      <c r="AS20" s="17"/>
      <c r="AT20" s="17">
        <f t="shared" ref="AT20:AT26" si="39">ROUND((N20+P20+R20+T20+V20+X20+Z20+AA20+AC20+AE20+AG20+AH20+AJ20+AL20+AM20+AN20+AO20+AP20+AR20)*AS20/12,1)</f>
        <v>0</v>
      </c>
      <c r="AU20" s="201">
        <f t="shared" si="31"/>
        <v>0</v>
      </c>
      <c r="AV20" s="201"/>
      <c r="AW20" s="223">
        <f t="shared" si="14"/>
        <v>0</v>
      </c>
      <c r="AX20" s="204">
        <f t="shared" si="32"/>
        <v>0</v>
      </c>
      <c r="AY20" s="201">
        <f t="shared" si="33"/>
        <v>0</v>
      </c>
      <c r="AZ20" s="201">
        <f t="shared" si="34"/>
        <v>0</v>
      </c>
      <c r="BA20" s="201"/>
      <c r="BB20" s="201">
        <f t="shared" si="35"/>
        <v>0</v>
      </c>
      <c r="BC20" s="201">
        <f t="shared" si="36"/>
        <v>0</v>
      </c>
      <c r="BD20" s="201">
        <f t="shared" si="37"/>
        <v>0</v>
      </c>
      <c r="BE20" s="201">
        <f t="shared" si="38"/>
        <v>0</v>
      </c>
    </row>
    <row r="21" spans="1:57" s="65" customFormat="1" ht="14.45" customHeight="1" x14ac:dyDescent="0.25">
      <c r="A21" s="18"/>
      <c r="B21" s="18"/>
      <c r="C21" s="18"/>
      <c r="D21" s="18"/>
      <c r="E21" s="18"/>
      <c r="F21" s="17"/>
      <c r="G21" s="17"/>
      <c r="H21" s="81">
        <f t="shared" si="16"/>
        <v>0</v>
      </c>
      <c r="I21" s="17"/>
      <c r="J21" s="194"/>
      <c r="K21" s="17">
        <f t="shared" si="17"/>
        <v>0</v>
      </c>
      <c r="L21" s="194"/>
      <c r="M21" s="17">
        <f t="shared" si="18"/>
        <v>0</v>
      </c>
      <c r="N21" s="17">
        <f t="shared" si="19"/>
        <v>0</v>
      </c>
      <c r="O21" s="194"/>
      <c r="P21" s="17">
        <f t="shared" si="20"/>
        <v>0</v>
      </c>
      <c r="Q21" s="194"/>
      <c r="R21" s="17">
        <f t="shared" si="21"/>
        <v>0</v>
      </c>
      <c r="S21" s="195"/>
      <c r="T21" s="17"/>
      <c r="U21" s="195"/>
      <c r="V21" s="17"/>
      <c r="W21" s="189"/>
      <c r="X21" s="17"/>
      <c r="Y21" s="194"/>
      <c r="Z21" s="17">
        <f t="shared" si="22"/>
        <v>0</v>
      </c>
      <c r="AA21" s="17">
        <f t="shared" si="23"/>
        <v>0</v>
      </c>
      <c r="AB21" s="194"/>
      <c r="AC21" s="17">
        <f t="shared" si="24"/>
        <v>0</v>
      </c>
      <c r="AD21" s="194"/>
      <c r="AE21" s="17">
        <f t="shared" si="25"/>
        <v>0</v>
      </c>
      <c r="AF21" s="17"/>
      <c r="AG21" s="17"/>
      <c r="AH21" s="17">
        <f t="shared" si="26"/>
        <v>0</v>
      </c>
      <c r="AI21" s="190"/>
      <c r="AJ21" s="17">
        <f t="shared" si="27"/>
        <v>0</v>
      </c>
      <c r="AK21" s="190"/>
      <c r="AL21" s="17"/>
      <c r="AM21" s="17"/>
      <c r="AN21" s="17">
        <f t="shared" si="28"/>
        <v>0</v>
      </c>
      <c r="AO21" s="17">
        <f t="shared" si="29"/>
        <v>0</v>
      </c>
      <c r="AP21" s="17">
        <f t="shared" si="30"/>
        <v>0</v>
      </c>
      <c r="AQ21" s="17"/>
      <c r="AR21" s="17"/>
      <c r="AS21" s="17"/>
      <c r="AT21" s="17">
        <f t="shared" si="39"/>
        <v>0</v>
      </c>
      <c r="AU21" s="201">
        <f t="shared" si="31"/>
        <v>0</v>
      </c>
      <c r="AV21" s="201"/>
      <c r="AW21" s="223">
        <f t="shared" si="14"/>
        <v>0</v>
      </c>
      <c r="AX21" s="204">
        <f t="shared" si="32"/>
        <v>0</v>
      </c>
      <c r="AY21" s="201">
        <f t="shared" si="33"/>
        <v>0</v>
      </c>
      <c r="AZ21" s="201">
        <f t="shared" si="34"/>
        <v>0</v>
      </c>
      <c r="BA21" s="201"/>
      <c r="BB21" s="201">
        <f t="shared" si="35"/>
        <v>0</v>
      </c>
      <c r="BC21" s="201">
        <f t="shared" si="36"/>
        <v>0</v>
      </c>
      <c r="BD21" s="201">
        <f t="shared" si="37"/>
        <v>0</v>
      </c>
      <c r="BE21" s="201">
        <f t="shared" si="38"/>
        <v>0</v>
      </c>
    </row>
    <row r="22" spans="1:57" s="65" customFormat="1" ht="14.45" customHeight="1" x14ac:dyDescent="0.25">
      <c r="A22" s="18"/>
      <c r="B22" s="18"/>
      <c r="C22" s="18"/>
      <c r="D22" s="18"/>
      <c r="E22" s="18"/>
      <c r="F22" s="17"/>
      <c r="G22" s="17"/>
      <c r="H22" s="81">
        <f t="shared" si="16"/>
        <v>0</v>
      </c>
      <c r="I22" s="17"/>
      <c r="J22" s="194"/>
      <c r="K22" s="17">
        <f t="shared" si="17"/>
        <v>0</v>
      </c>
      <c r="L22" s="194"/>
      <c r="M22" s="17">
        <f t="shared" si="18"/>
        <v>0</v>
      </c>
      <c r="N22" s="17">
        <f t="shared" si="19"/>
        <v>0</v>
      </c>
      <c r="O22" s="194"/>
      <c r="P22" s="17">
        <f t="shared" si="20"/>
        <v>0</v>
      </c>
      <c r="Q22" s="194"/>
      <c r="R22" s="17">
        <f t="shared" si="21"/>
        <v>0</v>
      </c>
      <c r="S22" s="195"/>
      <c r="T22" s="17"/>
      <c r="U22" s="195"/>
      <c r="V22" s="17"/>
      <c r="W22" s="189"/>
      <c r="X22" s="17"/>
      <c r="Y22" s="194"/>
      <c r="Z22" s="17">
        <f t="shared" si="22"/>
        <v>0</v>
      </c>
      <c r="AA22" s="17">
        <f t="shared" si="23"/>
        <v>0</v>
      </c>
      <c r="AB22" s="194"/>
      <c r="AC22" s="17">
        <f t="shared" si="24"/>
        <v>0</v>
      </c>
      <c r="AD22" s="194"/>
      <c r="AE22" s="17">
        <f t="shared" si="25"/>
        <v>0</v>
      </c>
      <c r="AF22" s="17"/>
      <c r="AG22" s="17"/>
      <c r="AH22" s="17">
        <f t="shared" si="26"/>
        <v>0</v>
      </c>
      <c r="AI22" s="190"/>
      <c r="AJ22" s="17">
        <f t="shared" si="27"/>
        <v>0</v>
      </c>
      <c r="AK22" s="190"/>
      <c r="AL22" s="17"/>
      <c r="AM22" s="17"/>
      <c r="AN22" s="17">
        <f t="shared" si="28"/>
        <v>0</v>
      </c>
      <c r="AO22" s="17">
        <f t="shared" si="29"/>
        <v>0</v>
      </c>
      <c r="AP22" s="17">
        <f t="shared" si="30"/>
        <v>0</v>
      </c>
      <c r="AQ22" s="17"/>
      <c r="AR22" s="17"/>
      <c r="AS22" s="17"/>
      <c r="AT22" s="17">
        <f t="shared" si="39"/>
        <v>0</v>
      </c>
      <c r="AU22" s="201">
        <f t="shared" si="31"/>
        <v>0</v>
      </c>
      <c r="AV22" s="201"/>
      <c r="AW22" s="223">
        <f t="shared" si="14"/>
        <v>0</v>
      </c>
      <c r="AX22" s="204">
        <f t="shared" si="32"/>
        <v>0</v>
      </c>
      <c r="AY22" s="201">
        <f t="shared" si="33"/>
        <v>0</v>
      </c>
      <c r="AZ22" s="201">
        <f t="shared" si="34"/>
        <v>0</v>
      </c>
      <c r="BA22" s="201"/>
      <c r="BB22" s="201">
        <f t="shared" si="35"/>
        <v>0</v>
      </c>
      <c r="BC22" s="201">
        <f t="shared" si="36"/>
        <v>0</v>
      </c>
      <c r="BD22" s="201">
        <f t="shared" si="37"/>
        <v>0</v>
      </c>
      <c r="BE22" s="201">
        <f t="shared" si="38"/>
        <v>0</v>
      </c>
    </row>
    <row r="23" spans="1:57" s="65" customFormat="1" ht="14.45" customHeight="1" x14ac:dyDescent="0.25">
      <c r="A23" s="18"/>
      <c r="B23" s="18"/>
      <c r="C23" s="18"/>
      <c r="D23" s="18"/>
      <c r="E23" s="18"/>
      <c r="F23" s="17"/>
      <c r="G23" s="17"/>
      <c r="H23" s="81">
        <f t="shared" si="16"/>
        <v>0</v>
      </c>
      <c r="I23" s="17"/>
      <c r="J23" s="194"/>
      <c r="K23" s="17">
        <f t="shared" si="17"/>
        <v>0</v>
      </c>
      <c r="L23" s="194"/>
      <c r="M23" s="17">
        <f t="shared" si="18"/>
        <v>0</v>
      </c>
      <c r="N23" s="17">
        <f t="shared" si="19"/>
        <v>0</v>
      </c>
      <c r="O23" s="194"/>
      <c r="P23" s="17">
        <f t="shared" si="20"/>
        <v>0</v>
      </c>
      <c r="Q23" s="194"/>
      <c r="R23" s="17">
        <f t="shared" si="21"/>
        <v>0</v>
      </c>
      <c r="S23" s="195"/>
      <c r="T23" s="17"/>
      <c r="U23" s="195"/>
      <c r="V23" s="17"/>
      <c r="W23" s="189"/>
      <c r="X23" s="17"/>
      <c r="Y23" s="194"/>
      <c r="Z23" s="17">
        <f t="shared" si="22"/>
        <v>0</v>
      </c>
      <c r="AA23" s="17">
        <f t="shared" si="23"/>
        <v>0</v>
      </c>
      <c r="AB23" s="194"/>
      <c r="AC23" s="17">
        <f t="shared" si="24"/>
        <v>0</v>
      </c>
      <c r="AD23" s="194"/>
      <c r="AE23" s="17">
        <f t="shared" si="25"/>
        <v>0</v>
      </c>
      <c r="AF23" s="17"/>
      <c r="AG23" s="17"/>
      <c r="AH23" s="17">
        <f t="shared" si="26"/>
        <v>0</v>
      </c>
      <c r="AI23" s="190"/>
      <c r="AJ23" s="17">
        <f t="shared" si="27"/>
        <v>0</v>
      </c>
      <c r="AK23" s="190"/>
      <c r="AL23" s="17"/>
      <c r="AM23" s="17"/>
      <c r="AN23" s="17">
        <f t="shared" si="28"/>
        <v>0</v>
      </c>
      <c r="AO23" s="17">
        <f t="shared" si="29"/>
        <v>0</v>
      </c>
      <c r="AP23" s="17">
        <f t="shared" si="30"/>
        <v>0</v>
      </c>
      <c r="AQ23" s="17"/>
      <c r="AR23" s="17"/>
      <c r="AS23" s="17"/>
      <c r="AT23" s="17">
        <f t="shared" si="39"/>
        <v>0</v>
      </c>
      <c r="AU23" s="201">
        <f t="shared" si="31"/>
        <v>0</v>
      </c>
      <c r="AV23" s="201"/>
      <c r="AW23" s="223">
        <f t="shared" si="14"/>
        <v>0</v>
      </c>
      <c r="AX23" s="204">
        <f t="shared" si="32"/>
        <v>0</v>
      </c>
      <c r="AY23" s="201">
        <f t="shared" si="33"/>
        <v>0</v>
      </c>
      <c r="AZ23" s="201">
        <f t="shared" si="34"/>
        <v>0</v>
      </c>
      <c r="BA23" s="201"/>
      <c r="BB23" s="201">
        <f t="shared" si="35"/>
        <v>0</v>
      </c>
      <c r="BC23" s="201">
        <f t="shared" si="36"/>
        <v>0</v>
      </c>
      <c r="BD23" s="201">
        <f t="shared" si="37"/>
        <v>0</v>
      </c>
      <c r="BE23" s="201">
        <f t="shared" si="38"/>
        <v>0</v>
      </c>
    </row>
    <row r="24" spans="1:57" s="65" customFormat="1" x14ac:dyDescent="0.25">
      <c r="A24" s="18"/>
      <c r="B24" s="18"/>
      <c r="C24" s="18"/>
      <c r="D24" s="18"/>
      <c r="E24" s="18"/>
      <c r="F24" s="17"/>
      <c r="G24" s="17"/>
      <c r="H24" s="81">
        <f t="shared" si="16"/>
        <v>0</v>
      </c>
      <c r="I24" s="17"/>
      <c r="J24" s="194"/>
      <c r="K24" s="17">
        <f t="shared" si="17"/>
        <v>0</v>
      </c>
      <c r="L24" s="194"/>
      <c r="M24" s="17">
        <f t="shared" si="18"/>
        <v>0</v>
      </c>
      <c r="N24" s="17">
        <f t="shared" si="19"/>
        <v>0</v>
      </c>
      <c r="O24" s="194"/>
      <c r="P24" s="17">
        <f t="shared" si="20"/>
        <v>0</v>
      </c>
      <c r="Q24" s="194"/>
      <c r="R24" s="17">
        <f t="shared" si="21"/>
        <v>0</v>
      </c>
      <c r="S24" s="195"/>
      <c r="T24" s="17"/>
      <c r="U24" s="195"/>
      <c r="V24" s="17"/>
      <c r="W24" s="189"/>
      <c r="X24" s="17"/>
      <c r="Y24" s="194"/>
      <c r="Z24" s="17">
        <f t="shared" si="22"/>
        <v>0</v>
      </c>
      <c r="AA24" s="17">
        <f t="shared" si="23"/>
        <v>0</v>
      </c>
      <c r="AB24" s="194"/>
      <c r="AC24" s="17">
        <f t="shared" si="24"/>
        <v>0</v>
      </c>
      <c r="AD24" s="194"/>
      <c r="AE24" s="17">
        <f t="shared" si="25"/>
        <v>0</v>
      </c>
      <c r="AF24" s="17"/>
      <c r="AG24" s="17"/>
      <c r="AH24" s="17">
        <f t="shared" si="26"/>
        <v>0</v>
      </c>
      <c r="AI24" s="190"/>
      <c r="AJ24" s="17">
        <f t="shared" si="27"/>
        <v>0</v>
      </c>
      <c r="AK24" s="190"/>
      <c r="AL24" s="17"/>
      <c r="AM24" s="17"/>
      <c r="AN24" s="17">
        <f t="shared" si="28"/>
        <v>0</v>
      </c>
      <c r="AO24" s="17">
        <f t="shared" si="29"/>
        <v>0</v>
      </c>
      <c r="AP24" s="17">
        <f t="shared" si="30"/>
        <v>0</v>
      </c>
      <c r="AQ24" s="17"/>
      <c r="AR24" s="17"/>
      <c r="AS24" s="17"/>
      <c r="AT24" s="17">
        <f t="shared" si="39"/>
        <v>0</v>
      </c>
      <c r="AU24" s="201">
        <f t="shared" si="31"/>
        <v>0</v>
      </c>
      <c r="AV24" s="201"/>
      <c r="AW24" s="223">
        <f t="shared" si="14"/>
        <v>0</v>
      </c>
      <c r="AX24" s="204">
        <f t="shared" si="32"/>
        <v>0</v>
      </c>
      <c r="AY24" s="201">
        <f t="shared" si="33"/>
        <v>0</v>
      </c>
      <c r="AZ24" s="201">
        <f t="shared" si="34"/>
        <v>0</v>
      </c>
      <c r="BA24" s="201"/>
      <c r="BB24" s="201">
        <f t="shared" si="35"/>
        <v>0</v>
      </c>
      <c r="BC24" s="201">
        <f t="shared" si="36"/>
        <v>0</v>
      </c>
      <c r="BD24" s="201">
        <f t="shared" si="37"/>
        <v>0</v>
      </c>
      <c r="BE24" s="201">
        <f t="shared" si="38"/>
        <v>0</v>
      </c>
    </row>
    <row r="25" spans="1:57" s="65" customFormat="1" x14ac:dyDescent="0.25">
      <c r="A25" s="18"/>
      <c r="B25" s="18"/>
      <c r="C25" s="18"/>
      <c r="D25" s="18"/>
      <c r="E25" s="18"/>
      <c r="F25" s="17"/>
      <c r="G25" s="17"/>
      <c r="H25" s="81">
        <f t="shared" si="16"/>
        <v>0</v>
      </c>
      <c r="I25" s="17"/>
      <c r="J25" s="194"/>
      <c r="K25" s="17">
        <f t="shared" si="17"/>
        <v>0</v>
      </c>
      <c r="L25" s="194"/>
      <c r="M25" s="17">
        <f t="shared" si="18"/>
        <v>0</v>
      </c>
      <c r="N25" s="17">
        <f t="shared" si="19"/>
        <v>0</v>
      </c>
      <c r="O25" s="194"/>
      <c r="P25" s="17">
        <f t="shared" si="20"/>
        <v>0</v>
      </c>
      <c r="Q25" s="194"/>
      <c r="R25" s="17">
        <f t="shared" si="21"/>
        <v>0</v>
      </c>
      <c r="S25" s="195"/>
      <c r="T25" s="17"/>
      <c r="U25" s="195"/>
      <c r="V25" s="17"/>
      <c r="W25" s="189"/>
      <c r="X25" s="17"/>
      <c r="Y25" s="194"/>
      <c r="Z25" s="17">
        <f t="shared" si="22"/>
        <v>0</v>
      </c>
      <c r="AA25" s="17">
        <f t="shared" si="23"/>
        <v>0</v>
      </c>
      <c r="AB25" s="194"/>
      <c r="AC25" s="17">
        <f t="shared" si="24"/>
        <v>0</v>
      </c>
      <c r="AD25" s="194"/>
      <c r="AE25" s="17">
        <f t="shared" si="25"/>
        <v>0</v>
      </c>
      <c r="AF25" s="17"/>
      <c r="AG25" s="17"/>
      <c r="AH25" s="17">
        <f t="shared" si="26"/>
        <v>0</v>
      </c>
      <c r="AI25" s="190"/>
      <c r="AJ25" s="17">
        <f t="shared" si="27"/>
        <v>0</v>
      </c>
      <c r="AK25" s="190"/>
      <c r="AL25" s="17"/>
      <c r="AM25" s="17"/>
      <c r="AN25" s="17">
        <f t="shared" si="28"/>
        <v>0</v>
      </c>
      <c r="AO25" s="17">
        <f t="shared" si="29"/>
        <v>0</v>
      </c>
      <c r="AP25" s="17">
        <f t="shared" si="30"/>
        <v>0</v>
      </c>
      <c r="AQ25" s="17"/>
      <c r="AR25" s="17"/>
      <c r="AS25" s="17"/>
      <c r="AT25" s="17">
        <f t="shared" si="39"/>
        <v>0</v>
      </c>
      <c r="AU25" s="201">
        <f t="shared" si="31"/>
        <v>0</v>
      </c>
      <c r="AV25" s="201"/>
      <c r="AW25" s="223">
        <f t="shared" si="14"/>
        <v>0</v>
      </c>
      <c r="AX25" s="204">
        <f t="shared" si="32"/>
        <v>0</v>
      </c>
      <c r="AY25" s="201">
        <f t="shared" si="33"/>
        <v>0</v>
      </c>
      <c r="AZ25" s="201">
        <f t="shared" si="34"/>
        <v>0</v>
      </c>
      <c r="BA25" s="232"/>
      <c r="BB25" s="201">
        <f t="shared" si="35"/>
        <v>0</v>
      </c>
      <c r="BC25" s="201">
        <f t="shared" si="36"/>
        <v>0</v>
      </c>
      <c r="BD25" s="201">
        <f t="shared" si="37"/>
        <v>0</v>
      </c>
      <c r="BE25" s="201">
        <f t="shared" si="38"/>
        <v>0</v>
      </c>
    </row>
    <row r="26" spans="1:57" s="65" customFormat="1" x14ac:dyDescent="0.25">
      <c r="A26" s="18"/>
      <c r="B26" s="18"/>
      <c r="C26" s="18"/>
      <c r="D26" s="18"/>
      <c r="E26" s="18"/>
      <c r="F26" s="17"/>
      <c r="G26" s="17"/>
      <c r="H26" s="81">
        <f t="shared" si="16"/>
        <v>0</v>
      </c>
      <c r="I26" s="17"/>
      <c r="J26" s="194"/>
      <c r="K26" s="17">
        <f t="shared" si="17"/>
        <v>0</v>
      </c>
      <c r="L26" s="194"/>
      <c r="M26" s="17">
        <f t="shared" si="18"/>
        <v>0</v>
      </c>
      <c r="N26" s="17">
        <f t="shared" si="19"/>
        <v>0</v>
      </c>
      <c r="O26" s="194"/>
      <c r="P26" s="17">
        <f t="shared" si="20"/>
        <v>0</v>
      </c>
      <c r="Q26" s="194"/>
      <c r="R26" s="17">
        <f t="shared" si="21"/>
        <v>0</v>
      </c>
      <c r="S26" s="195"/>
      <c r="T26" s="17"/>
      <c r="U26" s="195"/>
      <c r="V26" s="17"/>
      <c r="W26" s="189"/>
      <c r="X26" s="17"/>
      <c r="Y26" s="194"/>
      <c r="Z26" s="17">
        <f t="shared" si="22"/>
        <v>0</v>
      </c>
      <c r="AA26" s="17">
        <f t="shared" si="23"/>
        <v>0</v>
      </c>
      <c r="AB26" s="194"/>
      <c r="AC26" s="17">
        <f t="shared" si="24"/>
        <v>0</v>
      </c>
      <c r="AD26" s="194"/>
      <c r="AE26" s="17">
        <f t="shared" si="25"/>
        <v>0</v>
      </c>
      <c r="AF26" s="17"/>
      <c r="AG26" s="17"/>
      <c r="AH26" s="57">
        <f t="shared" si="26"/>
        <v>0</v>
      </c>
      <c r="AI26" s="190"/>
      <c r="AJ26" s="17">
        <f t="shared" si="27"/>
        <v>0</v>
      </c>
      <c r="AK26" s="190"/>
      <c r="AL26" s="17"/>
      <c r="AM26" s="17"/>
      <c r="AN26" s="17">
        <f t="shared" si="28"/>
        <v>0</v>
      </c>
      <c r="AO26" s="17">
        <f t="shared" si="29"/>
        <v>0</v>
      </c>
      <c r="AP26" s="17">
        <f t="shared" si="30"/>
        <v>0</v>
      </c>
      <c r="AQ26" s="17"/>
      <c r="AR26" s="17"/>
      <c r="AS26" s="57"/>
      <c r="AT26" s="17">
        <f t="shared" si="39"/>
        <v>0</v>
      </c>
      <c r="AU26" s="201">
        <f t="shared" si="31"/>
        <v>0</v>
      </c>
      <c r="AV26" s="208"/>
      <c r="AW26" s="223">
        <f t="shared" si="14"/>
        <v>0</v>
      </c>
      <c r="AX26" s="204">
        <f t="shared" si="32"/>
        <v>0</v>
      </c>
      <c r="AY26" s="201">
        <f t="shared" si="33"/>
        <v>0</v>
      </c>
      <c r="AZ26" s="201">
        <f t="shared" si="34"/>
        <v>0</v>
      </c>
      <c r="BA26" s="208"/>
      <c r="BB26" s="201">
        <f t="shared" si="35"/>
        <v>0</v>
      </c>
      <c r="BC26" s="201">
        <f t="shared" si="36"/>
        <v>0</v>
      </c>
      <c r="BD26" s="201">
        <f t="shared" si="37"/>
        <v>0</v>
      </c>
      <c r="BE26" s="201">
        <f t="shared" si="38"/>
        <v>0</v>
      </c>
    </row>
    <row r="27" spans="1:57" s="21" customFormat="1" ht="14.25" customHeight="1" x14ac:dyDescent="0.2">
      <c r="A27" s="291" t="s">
        <v>454</v>
      </c>
      <c r="B27" s="292"/>
      <c r="C27" s="292"/>
      <c r="D27" s="292"/>
      <c r="E27" s="292"/>
      <c r="F27" s="292"/>
      <c r="G27" s="292"/>
      <c r="H27" s="292"/>
      <c r="I27" s="292"/>
      <c r="J27" s="292"/>
      <c r="K27" s="292"/>
      <c r="L27" s="292"/>
      <c r="M27" s="292"/>
      <c r="N27" s="292"/>
      <c r="O27" s="292"/>
      <c r="P27" s="292"/>
      <c r="Q27" s="292"/>
      <c r="R27" s="292"/>
      <c r="S27" s="292"/>
      <c r="T27" s="292"/>
      <c r="U27" s="292"/>
      <c r="V27" s="292"/>
      <c r="W27" s="292"/>
      <c r="X27" s="108"/>
      <c r="Y27" s="20"/>
      <c r="Z27" s="108"/>
      <c r="AA27" s="20"/>
      <c r="AB27" s="20"/>
      <c r="AC27" s="109"/>
      <c r="AD27" s="108"/>
      <c r="AE27" s="20"/>
      <c r="AF27" s="106"/>
      <c r="AG27" s="20"/>
      <c r="AH27" s="20"/>
      <c r="AI27" s="111"/>
      <c r="AJ27" s="20"/>
      <c r="AK27" s="106"/>
      <c r="AL27" s="20"/>
      <c r="AM27" s="112"/>
      <c r="AN27" s="113"/>
      <c r="AO27" s="20"/>
      <c r="AP27" s="114"/>
      <c r="AQ27" s="20"/>
      <c r="AR27" s="112"/>
      <c r="AS27" s="102"/>
      <c r="AT27" s="20"/>
      <c r="AU27" s="20"/>
      <c r="AV27" s="20"/>
      <c r="AW27" s="99"/>
    </row>
    <row r="28" spans="1:57" s="21" customFormat="1" ht="14.25" customHeight="1" x14ac:dyDescent="0.2">
      <c r="A28" s="284" t="s">
        <v>455</v>
      </c>
      <c r="B28" s="284"/>
      <c r="C28" s="284"/>
      <c r="D28" s="284"/>
      <c r="E28" s="284"/>
      <c r="F28" s="284"/>
      <c r="G28" s="284"/>
      <c r="H28" s="284"/>
      <c r="I28" s="284"/>
      <c r="J28" s="284"/>
      <c r="K28" s="284"/>
      <c r="L28" s="284"/>
      <c r="M28" s="284"/>
      <c r="N28" s="284"/>
      <c r="O28" s="284"/>
      <c r="P28" s="284"/>
      <c r="Q28" s="284"/>
      <c r="R28" s="284"/>
      <c r="S28" s="284"/>
      <c r="T28" s="284"/>
      <c r="U28" s="284"/>
      <c r="V28" s="284"/>
      <c r="W28" s="284"/>
      <c r="X28" s="108"/>
      <c r="Y28" s="20"/>
      <c r="Z28" s="108"/>
      <c r="AA28" s="20"/>
      <c r="AB28" s="20"/>
      <c r="AC28" s="109"/>
      <c r="AD28" s="108"/>
      <c r="AE28" s="20"/>
      <c r="AF28" s="106"/>
      <c r="AG28" s="20"/>
      <c r="AH28" s="20"/>
      <c r="AI28" s="111"/>
      <c r="AJ28" s="20"/>
      <c r="AK28" s="106"/>
      <c r="AL28" s="20"/>
      <c r="AM28" s="112"/>
      <c r="AN28" s="113"/>
      <c r="AO28" s="20"/>
      <c r="AP28" s="114"/>
      <c r="AQ28" s="20"/>
      <c r="AR28" s="112"/>
      <c r="AS28" s="102"/>
      <c r="AT28" s="20"/>
      <c r="AU28" s="20"/>
      <c r="AV28" s="20"/>
      <c r="AW28" s="20"/>
    </row>
    <row r="29" spans="1:57" s="21" customFormat="1" ht="14.25" customHeight="1" x14ac:dyDescent="0.2">
      <c r="A29" s="291" t="s">
        <v>445</v>
      </c>
      <c r="B29" s="292"/>
      <c r="C29" s="292"/>
      <c r="D29" s="292"/>
      <c r="E29" s="292"/>
      <c r="F29" s="292"/>
      <c r="G29" s="292"/>
      <c r="H29" s="292"/>
      <c r="I29" s="292"/>
      <c r="J29" s="292"/>
      <c r="K29" s="292"/>
      <c r="L29" s="292"/>
      <c r="M29" s="292"/>
      <c r="N29" s="292"/>
      <c r="O29" s="292"/>
      <c r="P29" s="292"/>
      <c r="Q29" s="292"/>
      <c r="R29" s="292"/>
      <c r="S29" s="292"/>
      <c r="T29" s="292"/>
      <c r="U29" s="292"/>
      <c r="V29" s="292"/>
      <c r="W29" s="292"/>
      <c r="X29" s="108"/>
      <c r="Y29" s="20"/>
      <c r="Z29" s="108"/>
      <c r="AA29" s="20"/>
      <c r="AB29" s="20"/>
      <c r="AC29" s="109"/>
      <c r="AD29" s="108"/>
      <c r="AE29" s="20"/>
      <c r="AF29" s="106"/>
      <c r="AG29" s="20"/>
      <c r="AH29" s="20"/>
      <c r="AI29" s="111"/>
      <c r="AJ29" s="20"/>
      <c r="AK29" s="106"/>
      <c r="AL29" s="20"/>
      <c r="AM29" s="112"/>
      <c r="AN29" s="113"/>
      <c r="AO29" s="20"/>
      <c r="AP29" s="114"/>
      <c r="AQ29" s="20"/>
      <c r="AR29" s="112"/>
      <c r="AS29" s="102"/>
      <c r="AT29" s="20"/>
      <c r="AU29" s="20"/>
      <c r="AV29" s="20"/>
      <c r="AW29" s="99"/>
    </row>
    <row r="30" spans="1:57" s="21" customFormat="1" ht="14.25" customHeight="1" x14ac:dyDescent="0.2">
      <c r="A30" s="284" t="s">
        <v>446</v>
      </c>
      <c r="B30" s="284"/>
      <c r="C30" s="284"/>
      <c r="D30" s="284"/>
      <c r="E30" s="284"/>
      <c r="F30" s="284"/>
      <c r="G30" s="284"/>
      <c r="H30" s="284"/>
      <c r="I30" s="284"/>
      <c r="J30" s="284"/>
      <c r="K30" s="284"/>
      <c r="L30" s="284"/>
      <c r="M30" s="284"/>
      <c r="N30" s="284"/>
      <c r="O30" s="284"/>
      <c r="P30" s="284"/>
      <c r="Q30" s="284"/>
      <c r="R30" s="284"/>
      <c r="S30" s="284"/>
      <c r="T30" s="284"/>
      <c r="U30" s="284"/>
      <c r="V30" s="284"/>
      <c r="W30" s="284"/>
      <c r="X30" s="108"/>
      <c r="Y30" s="20"/>
      <c r="Z30" s="108"/>
      <c r="AA30" s="20"/>
      <c r="AB30" s="20"/>
      <c r="AC30" s="109"/>
      <c r="AD30" s="108"/>
      <c r="AE30" s="20"/>
      <c r="AF30" s="106"/>
      <c r="AG30" s="20"/>
      <c r="AH30" s="20"/>
      <c r="AI30" s="111"/>
      <c r="AJ30" s="20"/>
      <c r="AK30" s="106"/>
      <c r="AL30" s="20"/>
      <c r="AM30" s="112"/>
      <c r="AN30" s="113"/>
      <c r="AO30" s="20"/>
      <c r="AP30" s="114"/>
      <c r="AQ30" s="20"/>
      <c r="AR30" s="112"/>
      <c r="AS30" s="102"/>
      <c r="AT30" s="20"/>
      <c r="AU30" s="20"/>
      <c r="AV30" s="20"/>
      <c r="AW30" s="20"/>
    </row>
    <row r="31" spans="1:57" s="65" customFormat="1" x14ac:dyDescent="0.25">
      <c r="A31" s="47" t="s">
        <v>165</v>
      </c>
      <c r="B31" s="48"/>
      <c r="C31" s="48"/>
      <c r="D31" s="48"/>
      <c r="E31" s="48"/>
      <c r="F31" s="48"/>
      <c r="G31" s="48"/>
      <c r="H31" s="48"/>
      <c r="I31" s="48"/>
      <c r="J31" s="48"/>
      <c r="K31" s="48"/>
      <c r="L31" s="159"/>
      <c r="M31" s="48"/>
      <c r="N31" s="48"/>
      <c r="O31" s="48"/>
      <c r="P31" s="48"/>
      <c r="Q31" s="48"/>
      <c r="R31" s="48"/>
      <c r="S31" s="48"/>
      <c r="T31" s="48"/>
      <c r="U31" s="48"/>
      <c r="V31" s="49"/>
      <c r="W31" s="49"/>
      <c r="X31" s="49"/>
      <c r="Y31" s="49"/>
      <c r="Z31" s="49"/>
      <c r="AA31" s="49"/>
      <c r="AB31" s="20"/>
      <c r="AC31" s="20"/>
      <c r="AD31" s="20"/>
      <c r="AE31" s="20"/>
      <c r="AF31" s="20"/>
      <c r="AG31" s="20"/>
      <c r="AH31" s="20"/>
      <c r="AI31" s="20"/>
      <c r="AJ31" s="20"/>
      <c r="AK31" s="20"/>
      <c r="AL31" s="20"/>
      <c r="AM31" s="20"/>
      <c r="AN31" s="21"/>
      <c r="AO31" s="21"/>
      <c r="AP31" s="21"/>
      <c r="AQ31" s="19"/>
      <c r="AR31" s="20"/>
      <c r="AS31" s="20"/>
      <c r="AT31" s="102"/>
      <c r="AU31" s="102"/>
      <c r="AV31" s="102"/>
      <c r="AW31" s="21"/>
      <c r="AX31" s="37"/>
      <c r="AY31" s="20"/>
      <c r="AZ31" s="20"/>
      <c r="BA31" s="20"/>
      <c r="BB31" s="20"/>
      <c r="BC31" s="20"/>
    </row>
    <row r="32" spans="1:57" s="65" customFormat="1" x14ac:dyDescent="0.25">
      <c r="A32" s="349" t="s">
        <v>430</v>
      </c>
      <c r="B32" s="349"/>
      <c r="C32" s="349"/>
      <c r="D32" s="349"/>
      <c r="E32" s="349"/>
      <c r="F32" s="349"/>
      <c r="G32" s="285"/>
      <c r="H32" s="285"/>
      <c r="I32" s="285"/>
      <c r="J32" s="285"/>
      <c r="K32" s="285"/>
      <c r="L32" s="285"/>
      <c r="M32" s="285"/>
      <c r="N32" s="285"/>
      <c r="O32" s="285"/>
      <c r="P32" s="285"/>
      <c r="Q32" s="285"/>
      <c r="R32" s="285"/>
      <c r="S32" s="285"/>
      <c r="T32" s="285"/>
      <c r="U32" s="285"/>
      <c r="V32" s="285"/>
      <c r="W32" s="285"/>
      <c r="X32" s="285"/>
      <c r="Y32" s="49"/>
      <c r="Z32" s="49"/>
      <c r="AA32" s="49"/>
      <c r="AB32" s="20"/>
      <c r="AC32" s="20"/>
      <c r="AD32" s="20"/>
      <c r="AE32" s="20"/>
      <c r="AF32" s="20"/>
      <c r="AG32" s="20"/>
      <c r="AH32" s="20"/>
      <c r="AI32" s="20"/>
      <c r="AJ32" s="20"/>
      <c r="AK32" s="20"/>
      <c r="AL32" s="20"/>
      <c r="AM32" s="20"/>
      <c r="AN32" s="21"/>
      <c r="AO32" s="21"/>
      <c r="AP32" s="21"/>
      <c r="AQ32" s="19"/>
      <c r="AR32" s="20"/>
      <c r="AS32" s="20"/>
      <c r="AT32" s="102"/>
      <c r="AU32" s="102"/>
      <c r="AV32" s="102"/>
      <c r="AW32" s="21"/>
      <c r="AX32" s="37"/>
      <c r="AY32" s="20"/>
      <c r="AZ32" s="20"/>
      <c r="BA32" s="20"/>
      <c r="BB32" s="20"/>
      <c r="BC32" s="20"/>
    </row>
    <row r="33" spans="1:58" s="20" customFormat="1" ht="16.5" customHeight="1" x14ac:dyDescent="0.2">
      <c r="A33" s="285" t="s">
        <v>447</v>
      </c>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94"/>
      <c r="Z33" s="94"/>
      <c r="AA33" s="94"/>
      <c r="AB33" s="94"/>
      <c r="AC33" s="94"/>
      <c r="AD33" s="94"/>
      <c r="AE33" s="94"/>
      <c r="AF33" s="94"/>
      <c r="AG33" s="19"/>
      <c r="AH33" s="19"/>
      <c r="AI33" s="19"/>
      <c r="AJ33" s="19"/>
      <c r="AK33" s="19"/>
      <c r="AL33" s="19"/>
      <c r="AM33" s="19"/>
      <c r="AQ33" s="38"/>
      <c r="AS33" s="22"/>
      <c r="AT33" s="23"/>
      <c r="AU33" s="23"/>
      <c r="AV33" s="23"/>
      <c r="AW33" s="23"/>
      <c r="AX33" s="19"/>
      <c r="AY33" s="19"/>
      <c r="AZ33" s="19"/>
      <c r="BA33" s="19"/>
      <c r="BB33" s="19"/>
      <c r="BC33" s="19"/>
      <c r="BD33" s="19"/>
      <c r="BE33" s="19"/>
      <c r="BF33" s="19"/>
    </row>
    <row r="34" spans="1:58" s="20" customFormat="1" ht="35.25" customHeight="1" x14ac:dyDescent="0.2">
      <c r="A34" s="348" t="s">
        <v>432</v>
      </c>
      <c r="B34" s="348"/>
      <c r="C34" s="348"/>
      <c r="D34" s="348"/>
      <c r="E34" s="348"/>
      <c r="F34" s="348"/>
      <c r="G34" s="286"/>
      <c r="H34" s="286"/>
      <c r="I34" s="286"/>
      <c r="J34" s="286"/>
      <c r="K34" s="286"/>
      <c r="L34" s="286"/>
      <c r="M34" s="286"/>
      <c r="N34" s="286"/>
      <c r="O34" s="286"/>
      <c r="P34" s="286"/>
      <c r="Q34" s="286"/>
      <c r="R34" s="286"/>
      <c r="S34" s="286"/>
      <c r="T34" s="286"/>
      <c r="U34" s="286"/>
      <c r="V34" s="286"/>
      <c r="W34" s="286"/>
      <c r="X34" s="286"/>
      <c r="Y34" s="286"/>
      <c r="Z34" s="286"/>
      <c r="AA34" s="94"/>
      <c r="AB34" s="94"/>
      <c r="AC34" s="94"/>
      <c r="AD34" s="94"/>
      <c r="AE34" s="94"/>
      <c r="AF34" s="94"/>
      <c r="AG34" s="19"/>
      <c r="AH34" s="19"/>
      <c r="AI34" s="19"/>
      <c r="AJ34" s="19"/>
      <c r="AK34" s="19"/>
      <c r="AL34" s="19"/>
      <c r="AM34" s="19"/>
      <c r="AQ34" s="38"/>
      <c r="AS34" s="22"/>
      <c r="AT34" s="23"/>
      <c r="AU34" s="23"/>
      <c r="AV34" s="23"/>
      <c r="AW34" s="23"/>
      <c r="AX34" s="19"/>
      <c r="AY34" s="19"/>
      <c r="AZ34" s="19"/>
      <c r="BA34" s="19"/>
      <c r="BB34" s="19"/>
      <c r="BC34" s="19"/>
      <c r="BD34" s="19"/>
      <c r="BE34" s="19"/>
      <c r="BF34" s="19"/>
    </row>
    <row r="35" spans="1:58" s="21" customFormat="1" ht="12.75" customHeight="1" x14ac:dyDescent="0.2">
      <c r="A35" s="285" t="s">
        <v>453</v>
      </c>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0"/>
      <c r="AC35" s="20"/>
      <c r="AD35" s="20"/>
      <c r="AE35" s="20"/>
    </row>
    <row r="36" spans="1:58" s="21" customFormat="1" ht="30" customHeight="1" x14ac:dyDescent="0.2">
      <c r="A36" s="286" t="s">
        <v>452</v>
      </c>
      <c r="B36" s="286"/>
      <c r="C36" s="286"/>
      <c r="D36" s="286"/>
      <c r="E36" s="286"/>
      <c r="F36" s="286"/>
      <c r="G36" s="286"/>
      <c r="H36" s="286"/>
      <c r="I36" s="286"/>
      <c r="J36" s="286"/>
      <c r="K36" s="286"/>
      <c r="L36" s="286"/>
      <c r="M36" s="286"/>
      <c r="N36" s="286"/>
      <c r="O36" s="286"/>
      <c r="P36" s="286"/>
      <c r="Q36" s="286"/>
      <c r="R36" s="286"/>
      <c r="S36" s="286"/>
      <c r="T36" s="286"/>
      <c r="U36" s="286"/>
      <c r="V36" s="286"/>
      <c r="W36" s="286"/>
      <c r="X36" s="286"/>
      <c r="Y36" s="286"/>
      <c r="Z36" s="286"/>
      <c r="AA36" s="20"/>
      <c r="AB36" s="20"/>
      <c r="AC36" s="20"/>
      <c r="AD36" s="20"/>
      <c r="AE36" s="20"/>
    </row>
    <row r="37" spans="1:58" s="77" customFormat="1" ht="12.75" x14ac:dyDescent="0.2">
      <c r="A37" s="96"/>
      <c r="B37" s="96"/>
      <c r="C37" s="96"/>
      <c r="D37" s="96"/>
      <c r="E37" s="96"/>
      <c r="F37" s="96"/>
      <c r="G37" s="96"/>
      <c r="H37" s="96"/>
      <c r="I37" s="96"/>
      <c r="J37" s="96"/>
      <c r="K37" s="96"/>
      <c r="L37" s="96"/>
      <c r="M37" s="96"/>
      <c r="N37" s="96"/>
      <c r="O37" s="96"/>
      <c r="P37" s="96"/>
      <c r="Q37" s="96"/>
      <c r="R37" s="96"/>
      <c r="S37" s="96"/>
      <c r="T37" s="96"/>
      <c r="U37" s="96"/>
      <c r="V37" s="96"/>
      <c r="W37" s="96"/>
      <c r="X37" s="96"/>
      <c r="Y37" s="74"/>
      <c r="Z37" s="74"/>
      <c r="AA37" s="74"/>
      <c r="AB37" s="74"/>
      <c r="AC37" s="74"/>
      <c r="AD37" s="75"/>
      <c r="AE37" s="76"/>
    </row>
    <row r="38" spans="1:58" s="181" customFormat="1" ht="17.25" customHeight="1" x14ac:dyDescent="0.25">
      <c r="A38" s="298" t="s">
        <v>542</v>
      </c>
      <c r="B38" s="298"/>
      <c r="C38" s="298"/>
      <c r="D38" s="298"/>
      <c r="E38" s="298"/>
      <c r="F38" s="298"/>
      <c r="G38" s="304"/>
      <c r="H38" s="304"/>
      <c r="I38" s="304"/>
      <c r="J38" s="304"/>
      <c r="K38" s="180"/>
      <c r="L38" s="48"/>
      <c r="M38" s="48"/>
      <c r="N38" s="48"/>
      <c r="O38" s="299"/>
      <c r="P38" s="299"/>
      <c r="Q38" s="299"/>
      <c r="R38" s="179"/>
      <c r="S38" s="179"/>
      <c r="T38" s="179"/>
      <c r="U38" s="179"/>
      <c r="V38" s="179"/>
      <c r="W38" s="179"/>
      <c r="X38" s="179"/>
    </row>
    <row r="39" spans="1:58" s="181" customFormat="1" ht="16.899999999999999" customHeight="1" x14ac:dyDescent="0.25">
      <c r="A39" s="179"/>
      <c r="B39" s="179"/>
      <c r="C39" s="179"/>
      <c r="D39" s="179"/>
      <c r="E39" s="179"/>
      <c r="F39" s="179"/>
      <c r="G39" s="301" t="s">
        <v>538</v>
      </c>
      <c r="H39" s="301"/>
      <c r="I39" s="301"/>
      <c r="J39" s="301"/>
      <c r="K39" s="179"/>
      <c r="L39" s="179"/>
      <c r="M39" s="179"/>
      <c r="N39" s="179"/>
      <c r="O39" s="301" t="s">
        <v>539</v>
      </c>
      <c r="P39" s="301"/>
      <c r="Q39" s="301"/>
      <c r="R39" s="179"/>
      <c r="S39" s="179"/>
      <c r="T39" s="179"/>
      <c r="U39" s="179"/>
      <c r="V39" s="179"/>
      <c r="W39" s="179"/>
      <c r="X39" s="179"/>
    </row>
    <row r="40" spans="1:58" customFormat="1" ht="18.75" customHeight="1" x14ac:dyDescent="0.25">
      <c r="A40" s="298" t="s">
        <v>540</v>
      </c>
      <c r="B40" s="298"/>
      <c r="C40" s="298"/>
      <c r="D40" s="298"/>
      <c r="E40" s="298"/>
      <c r="F40" s="298"/>
      <c r="G40" s="299"/>
      <c r="H40" s="299"/>
      <c r="I40" s="299"/>
      <c r="J40" s="299"/>
      <c r="K40" s="182"/>
      <c r="L40" s="299"/>
      <c r="M40" s="299"/>
      <c r="N40" s="299"/>
      <c r="O40" s="299"/>
      <c r="P40" s="183"/>
      <c r="Q40" s="300"/>
      <c r="R40" s="300"/>
      <c r="S40" s="300"/>
      <c r="T40" s="300"/>
      <c r="U40" s="178"/>
      <c r="V40" s="178"/>
      <c r="W40" s="178"/>
      <c r="X40" s="178"/>
      <c r="Y40" s="178"/>
      <c r="Z40" s="178"/>
    </row>
    <row r="41" spans="1:58" customFormat="1" ht="15" customHeight="1" x14ac:dyDescent="0.25">
      <c r="A41" s="184"/>
      <c r="B41" s="184"/>
      <c r="C41" s="184"/>
      <c r="D41" s="184"/>
      <c r="E41" s="78"/>
      <c r="F41" s="78"/>
      <c r="G41" s="301" t="s">
        <v>538</v>
      </c>
      <c r="H41" s="301"/>
      <c r="I41" s="301"/>
      <c r="J41" s="301"/>
      <c r="K41" s="185"/>
      <c r="L41" s="302" t="s">
        <v>304</v>
      </c>
      <c r="M41" s="302"/>
      <c r="N41" s="302"/>
      <c r="O41" s="302"/>
      <c r="P41" s="138"/>
      <c r="Q41" s="303" t="s">
        <v>541</v>
      </c>
      <c r="R41" s="303"/>
      <c r="S41" s="303"/>
      <c r="T41" s="303"/>
      <c r="U41" s="178"/>
      <c r="V41" s="178"/>
      <c r="W41" s="178"/>
      <c r="X41" s="178"/>
      <c r="Y41" s="178"/>
      <c r="Z41" s="178"/>
    </row>
  </sheetData>
  <mergeCells count="78">
    <mergeCell ref="G40:J40"/>
    <mergeCell ref="L40:O40"/>
    <mergeCell ref="Q40:T40"/>
    <mergeCell ref="G41:J41"/>
    <mergeCell ref="L41:O41"/>
    <mergeCell ref="Q41:T41"/>
    <mergeCell ref="A27:W27"/>
    <mergeCell ref="A28:W28"/>
    <mergeCell ref="A29:W29"/>
    <mergeCell ref="A30:W30"/>
    <mergeCell ref="A33:X33"/>
    <mergeCell ref="A34:Z34"/>
    <mergeCell ref="A35:AA35"/>
    <mergeCell ref="A32:X32"/>
    <mergeCell ref="A38:F38"/>
    <mergeCell ref="G38:J38"/>
    <mergeCell ref="O38:Q38"/>
    <mergeCell ref="G39:J39"/>
    <mergeCell ref="A36:Z36"/>
    <mergeCell ref="O39:Q39"/>
    <mergeCell ref="A40:F40"/>
    <mergeCell ref="AV7:AV12"/>
    <mergeCell ref="F7:F12"/>
    <mergeCell ref="AN7:AN12"/>
    <mergeCell ref="AO7:AO12"/>
    <mergeCell ref="AP7:AP12"/>
    <mergeCell ref="AU7:AU12"/>
    <mergeCell ref="AQ7:AR11"/>
    <mergeCell ref="AS7:AT11"/>
    <mergeCell ref="AK7:AM7"/>
    <mergeCell ref="AM9:AM12"/>
    <mergeCell ref="AL9:AL12"/>
    <mergeCell ref="AL8:AM8"/>
    <mergeCell ref="BC7:BC12"/>
    <mergeCell ref="BD7:BD12"/>
    <mergeCell ref="BE7:BE12"/>
    <mergeCell ref="AZ7:AZ12"/>
    <mergeCell ref="AW7:AX8"/>
    <mergeCell ref="AY7:AY12"/>
    <mergeCell ref="BB7:BB12"/>
    <mergeCell ref="AW9:AW12"/>
    <mergeCell ref="AX9:AX12"/>
    <mergeCell ref="BA7:BA12"/>
    <mergeCell ref="AK8:AK12"/>
    <mergeCell ref="Q7:R11"/>
    <mergeCell ref="S7:T11"/>
    <mergeCell ref="H10:H12"/>
    <mergeCell ref="L7:M11"/>
    <mergeCell ref="I7:I12"/>
    <mergeCell ref="J7:K11"/>
    <mergeCell ref="N7:N12"/>
    <mergeCell ref="G7:H9"/>
    <mergeCell ref="G10:G12"/>
    <mergeCell ref="O7:P11"/>
    <mergeCell ref="AJ9:AJ12"/>
    <mergeCell ref="U7:V11"/>
    <mergeCell ref="AD7:AE11"/>
    <mergeCell ref="Y7:Z11"/>
    <mergeCell ref="AA7:AA12"/>
    <mergeCell ref="A7:A12"/>
    <mergeCell ref="B7:B12"/>
    <mergeCell ref="C7:C12"/>
    <mergeCell ref="E7:E12"/>
    <mergeCell ref="D7:D12"/>
    <mergeCell ref="AB7:AC11"/>
    <mergeCell ref="W7:X11"/>
    <mergeCell ref="AI7:AJ8"/>
    <mergeCell ref="AI9:AI12"/>
    <mergeCell ref="AF7:AH9"/>
    <mergeCell ref="AH10:AH12"/>
    <mergeCell ref="AG10:AG12"/>
    <mergeCell ref="AF10:AF12"/>
    <mergeCell ref="E1:AA1"/>
    <mergeCell ref="B4:C4"/>
    <mergeCell ref="E4:I4"/>
    <mergeCell ref="K4:K5"/>
    <mergeCell ref="E5:I5"/>
    <mergeCell ref="U5:V5"/>
  </mergeCells>
  <dataValidations count="1">
    <dataValidation type="custom" allowBlank="1" showInputMessage="1" showErrorMessage="1" sqref="BA18">
      <formula1>"&lt;=(N15+P15)*12"</formula1>
    </dataValidation>
  </dataValidations>
  <printOptions horizontalCentered="1"/>
  <pageMargins left="0.31496062992126" right="0.31496062992126" top="0.66929133858267698" bottom="0.66929133858267698" header="0.31496062992126" footer="0.31496062992126"/>
  <pageSetup paperSize="8" scale="70" fitToWidth="2" fitToHeight="80" orientation="landscape" r:id="rId1"/>
  <headerFooter>
    <oddHeader>&amp;RTabel nr.5</oddHeader>
    <oddFooter>&amp;R&amp;"-,полужирный"&amp;8&amp;P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F40"/>
  <sheetViews>
    <sheetView showZeros="0" view="pageBreakPreview" zoomScale="70" zoomScaleNormal="71" zoomScaleSheetLayoutView="70" workbookViewId="0">
      <pane xSplit="2" ySplit="13" topLeftCell="C14" activePane="bottomRight" state="frozen"/>
      <selection activeCell="A32" sqref="A32:XFD35"/>
      <selection pane="topRight" activeCell="A32" sqref="A32:XFD35"/>
      <selection pane="bottomLeft" activeCell="A32" sqref="A32:XFD35"/>
      <selection pane="bottomRight" activeCell="AL15" sqref="AL15"/>
    </sheetView>
  </sheetViews>
  <sheetFormatPr defaultColWidth="8.85546875" defaultRowHeight="15" x14ac:dyDescent="0.25"/>
  <cols>
    <col min="1" max="1" width="4.140625" style="21" customWidth="1"/>
    <col min="2" max="2" width="15.140625" style="21" customWidth="1"/>
    <col min="3" max="4" width="5.5703125" style="21" customWidth="1"/>
    <col min="5" max="5" width="8.28515625" style="21" customWidth="1"/>
    <col min="6" max="6" width="9.5703125" style="21" customWidth="1"/>
    <col min="7" max="7" width="5.7109375" style="21" customWidth="1"/>
    <col min="8" max="9" width="7.7109375" style="21" customWidth="1"/>
    <col min="10" max="10" width="7.28515625" style="21" customWidth="1"/>
    <col min="11" max="11" width="7.7109375" style="21" customWidth="1"/>
    <col min="12" max="12" width="7.85546875" style="21" customWidth="1"/>
    <col min="13" max="13" width="12.7109375" style="21" customWidth="1"/>
    <col min="14" max="14" width="7.140625" style="21" customWidth="1"/>
    <col min="15" max="15" width="6.28515625" style="21" customWidth="1"/>
    <col min="16" max="16" width="7.28515625" style="21" customWidth="1"/>
    <col min="17" max="17" width="10.7109375" style="21" customWidth="1"/>
    <col min="18" max="18" width="6.85546875" style="21" customWidth="1"/>
    <col min="19" max="19" width="7.5703125" style="21" customWidth="1"/>
    <col min="20" max="20" width="11.28515625" style="21" customWidth="1"/>
    <col min="21" max="21" width="7.28515625" style="21" customWidth="1"/>
    <col min="22" max="22" width="20.5703125" style="21" customWidth="1"/>
    <col min="23" max="23" width="15.5703125" style="21" customWidth="1"/>
    <col min="24" max="24" width="12.5703125" style="21" customWidth="1"/>
    <col min="25" max="25" width="12.85546875" style="21" customWidth="1"/>
    <col min="26" max="26" width="13.140625" style="21" customWidth="1"/>
    <col min="27" max="27" width="6.28515625" style="21" customWidth="1"/>
    <col min="28" max="28" width="7.28515625" style="21" customWidth="1"/>
    <col min="29" max="29" width="11.85546875" style="21" customWidth="1"/>
    <col min="30" max="30" width="12.42578125" style="21" customWidth="1"/>
    <col min="31" max="31" width="10.7109375" style="21" customWidth="1"/>
    <col min="32" max="32" width="8.7109375" style="21" customWidth="1"/>
    <col min="33" max="33" width="12.7109375" style="21" customWidth="1"/>
    <col min="34" max="34" width="9.28515625" style="21" customWidth="1"/>
    <col min="35" max="36" width="10.5703125" style="21" customWidth="1"/>
    <col min="37" max="38" width="11.28515625" style="21" customWidth="1"/>
    <col min="39" max="39" width="11.42578125" style="21" customWidth="1"/>
    <col min="40" max="40" width="10.85546875" style="21" customWidth="1"/>
    <col min="41" max="16384" width="8.85546875" style="8"/>
  </cols>
  <sheetData>
    <row r="1" spans="1:57" s="65" customFormat="1" ht="22.5" x14ac:dyDescent="0.35">
      <c r="A1" s="21"/>
      <c r="B1" s="44"/>
      <c r="C1" s="331" t="s">
        <v>434</v>
      </c>
      <c r="D1" s="331"/>
      <c r="E1" s="331"/>
      <c r="F1" s="331"/>
      <c r="G1" s="331"/>
      <c r="H1" s="331"/>
      <c r="I1" s="331"/>
      <c r="J1" s="331"/>
      <c r="K1" s="331"/>
      <c r="L1" s="331"/>
      <c r="M1" s="331"/>
      <c r="N1" s="331"/>
      <c r="O1" s="331"/>
      <c r="P1" s="331"/>
      <c r="Q1" s="331"/>
      <c r="R1" s="331"/>
      <c r="S1" s="331"/>
      <c r="T1" s="331"/>
      <c r="U1" s="331"/>
      <c r="V1" s="331"/>
      <c r="W1" s="30"/>
      <c r="X1" s="44"/>
      <c r="Y1" s="44"/>
      <c r="Z1" s="44"/>
      <c r="AA1" s="44"/>
      <c r="AB1" s="44"/>
      <c r="AC1" s="44"/>
      <c r="AD1" s="44"/>
      <c r="AE1" s="44"/>
      <c r="AF1" s="44"/>
      <c r="AG1" s="44"/>
      <c r="AH1" s="44"/>
      <c r="AI1" s="44"/>
      <c r="AJ1" s="44"/>
      <c r="AK1" s="44"/>
      <c r="AL1" s="44"/>
      <c r="AM1" s="44"/>
      <c r="AN1" s="44"/>
      <c r="AO1" s="4"/>
      <c r="AP1" s="4"/>
      <c r="AQ1" s="4"/>
      <c r="AR1" s="4"/>
      <c r="AS1" s="4"/>
      <c r="AT1" s="4"/>
      <c r="AU1" s="4"/>
      <c r="AV1" s="4"/>
    </row>
    <row r="2" spans="1:57" s="64" customFormat="1" ht="12.75" x14ac:dyDescent="0.2">
      <c r="A2" s="62"/>
      <c r="B2" s="44"/>
      <c r="C2" s="62"/>
      <c r="D2" s="62"/>
      <c r="E2" s="62"/>
      <c r="F2" s="53"/>
      <c r="G2" s="58" t="s">
        <v>131</v>
      </c>
      <c r="H2" s="21"/>
      <c r="I2" s="53"/>
      <c r="J2" s="53"/>
      <c r="K2" s="53"/>
      <c r="L2" s="53"/>
      <c r="M2" s="53"/>
      <c r="N2" s="53"/>
      <c r="O2" s="53"/>
      <c r="P2" s="53"/>
      <c r="Q2" s="53"/>
      <c r="R2" s="53"/>
      <c r="S2" s="53"/>
      <c r="T2" s="53"/>
      <c r="U2" s="53"/>
      <c r="V2" s="51"/>
      <c r="W2" s="51"/>
      <c r="X2" s="51"/>
      <c r="Y2" s="51"/>
      <c r="Z2" s="51"/>
      <c r="AA2" s="54"/>
      <c r="AB2" s="54"/>
      <c r="AC2" s="54"/>
      <c r="AD2" s="54"/>
      <c r="AE2" s="54"/>
      <c r="AF2" s="54"/>
      <c r="AG2" s="54"/>
      <c r="AH2" s="54"/>
      <c r="AI2" s="54"/>
      <c r="AJ2" s="54"/>
      <c r="AK2" s="55"/>
      <c r="AL2" s="55"/>
      <c r="AM2" s="55"/>
      <c r="AN2" s="55"/>
      <c r="AO2" s="63"/>
      <c r="AP2" s="63"/>
      <c r="AQ2" s="63"/>
      <c r="AR2" s="63"/>
      <c r="AS2" s="63"/>
      <c r="AT2" s="63"/>
      <c r="AU2" s="63"/>
      <c r="AV2" s="63"/>
      <c r="AW2" s="63"/>
      <c r="AX2" s="63"/>
      <c r="AY2" s="63"/>
      <c r="AZ2" s="63"/>
      <c r="BA2" s="63"/>
      <c r="BB2" s="63"/>
      <c r="BC2" s="63"/>
      <c r="BD2" s="63"/>
      <c r="BE2" s="63"/>
    </row>
    <row r="3" spans="1:57" s="64" customFormat="1" ht="12.75" x14ac:dyDescent="0.2">
      <c r="A3" s="62"/>
      <c r="B3" s="44"/>
      <c r="C3" s="62"/>
      <c r="D3" s="62"/>
      <c r="E3" s="62"/>
      <c r="F3" s="53"/>
      <c r="G3" s="58"/>
      <c r="H3" s="21"/>
      <c r="I3" s="53"/>
      <c r="J3" s="53"/>
      <c r="K3" s="53"/>
      <c r="L3" s="53"/>
      <c r="M3" s="53"/>
      <c r="N3" s="53"/>
      <c r="O3" s="53"/>
      <c r="P3" s="53"/>
      <c r="Q3" s="53"/>
      <c r="R3" s="53"/>
      <c r="S3" s="53"/>
      <c r="T3" s="53"/>
      <c r="U3" s="53"/>
      <c r="V3" s="51"/>
      <c r="W3" s="51"/>
      <c r="X3" s="51"/>
      <c r="Y3" s="51"/>
      <c r="Z3" s="51"/>
      <c r="AA3" s="54"/>
      <c r="AB3" s="54"/>
      <c r="AC3" s="54"/>
      <c r="AD3" s="54"/>
      <c r="AE3" s="54"/>
      <c r="AF3" s="54"/>
      <c r="AG3" s="54"/>
      <c r="AH3" s="54"/>
      <c r="AI3" s="54"/>
      <c r="AJ3" s="54"/>
      <c r="AK3" s="55"/>
      <c r="AL3" s="55"/>
      <c r="AM3" s="55"/>
      <c r="AN3" s="55"/>
      <c r="AO3" s="63"/>
      <c r="AP3" s="63"/>
      <c r="AQ3" s="63"/>
      <c r="AR3" s="63"/>
      <c r="AS3" s="63"/>
      <c r="AT3" s="63"/>
      <c r="AU3" s="63"/>
      <c r="AV3" s="63"/>
      <c r="AW3" s="63"/>
      <c r="AX3" s="63"/>
      <c r="AY3" s="63"/>
      <c r="AZ3" s="63"/>
      <c r="BA3" s="63"/>
      <c r="BB3" s="63"/>
      <c r="BC3" s="63"/>
      <c r="BD3" s="63"/>
      <c r="BE3" s="63"/>
    </row>
    <row r="4" spans="1:57" s="64" customFormat="1" ht="12.75" customHeight="1" x14ac:dyDescent="0.2">
      <c r="A4" s="62"/>
      <c r="B4" s="350" t="s">
        <v>307</v>
      </c>
      <c r="C4" s="350"/>
      <c r="D4" s="79"/>
      <c r="E4" s="289" t="s">
        <v>308</v>
      </c>
      <c r="F4" s="289"/>
      <c r="G4" s="289"/>
      <c r="H4" s="289"/>
      <c r="I4" s="289"/>
      <c r="J4" s="75"/>
      <c r="K4" s="296" t="s">
        <v>164</v>
      </c>
      <c r="L4" s="80" t="s">
        <v>309</v>
      </c>
      <c r="M4" s="80" t="s">
        <v>310</v>
      </c>
      <c r="N4" s="80" t="s">
        <v>311</v>
      </c>
      <c r="O4" s="80" t="s">
        <v>312</v>
      </c>
      <c r="P4" s="80" t="s">
        <v>313</v>
      </c>
      <c r="Q4" s="53"/>
      <c r="R4" s="53"/>
      <c r="S4" s="53"/>
      <c r="T4" s="53"/>
      <c r="U4" s="53"/>
      <c r="V4" s="51"/>
      <c r="W4" s="51"/>
      <c r="X4" s="51"/>
      <c r="Y4" s="51"/>
      <c r="Z4" s="51"/>
      <c r="AA4" s="54"/>
      <c r="AB4" s="54"/>
      <c r="AC4" s="54"/>
      <c r="AD4" s="54"/>
      <c r="AE4" s="54"/>
      <c r="AF4" s="54"/>
      <c r="AG4" s="54"/>
      <c r="AH4" s="54"/>
      <c r="AI4" s="54"/>
      <c r="AJ4" s="54"/>
      <c r="AK4" s="55"/>
      <c r="AL4" s="55"/>
      <c r="AM4" s="55"/>
      <c r="AN4" s="55"/>
      <c r="AO4" s="63"/>
      <c r="AP4" s="63"/>
      <c r="AQ4" s="63"/>
      <c r="AR4" s="63"/>
      <c r="AS4" s="63"/>
      <c r="AT4" s="63"/>
      <c r="AU4" s="63"/>
      <c r="AV4" s="63"/>
      <c r="AW4" s="63"/>
      <c r="AX4" s="63"/>
      <c r="AY4" s="63"/>
      <c r="AZ4" s="63"/>
      <c r="BA4" s="63"/>
      <c r="BB4" s="63"/>
      <c r="BC4" s="63"/>
      <c r="BD4" s="63"/>
      <c r="BE4" s="63"/>
    </row>
    <row r="5" spans="1:57" s="5" customFormat="1" ht="15.75" customHeight="1" x14ac:dyDescent="0.25">
      <c r="A5" s="21"/>
      <c r="B5" s="350"/>
      <c r="C5" s="350"/>
      <c r="D5" s="32"/>
      <c r="E5" s="290" t="s">
        <v>314</v>
      </c>
      <c r="F5" s="290"/>
      <c r="G5" s="290"/>
      <c r="H5" s="290"/>
      <c r="I5" s="290"/>
      <c r="J5" s="32"/>
      <c r="K5" s="296"/>
      <c r="L5" s="81"/>
      <c r="M5" s="81"/>
      <c r="N5" s="81"/>
      <c r="O5" s="81"/>
      <c r="P5" s="81"/>
      <c r="Q5" s="29"/>
      <c r="R5" s="29"/>
      <c r="S5" s="21"/>
      <c r="T5" s="21"/>
      <c r="U5" s="29"/>
      <c r="V5" s="30"/>
      <c r="W5" s="20"/>
      <c r="X5" s="21"/>
      <c r="Y5" s="21"/>
      <c r="Z5" s="21"/>
      <c r="AA5" s="19"/>
      <c r="AB5" s="19"/>
      <c r="AC5" s="19"/>
      <c r="AD5" s="19"/>
      <c r="AE5" s="19"/>
      <c r="AF5" s="19"/>
      <c r="AG5" s="20"/>
      <c r="AH5" s="19"/>
      <c r="AI5" s="19"/>
      <c r="AJ5" s="19"/>
      <c r="AK5" s="19"/>
      <c r="AL5" s="19"/>
      <c r="AM5" s="100"/>
      <c r="AN5" s="21"/>
    </row>
    <row r="6" spans="1:57" s="65" customFormat="1" x14ac:dyDescent="0.25">
      <c r="A6" s="32"/>
      <c r="B6" s="32"/>
      <c r="C6" s="32"/>
      <c r="D6" s="32"/>
      <c r="E6" s="32"/>
      <c r="F6" s="32"/>
      <c r="G6" s="32"/>
      <c r="H6" s="34"/>
      <c r="I6" s="34"/>
      <c r="J6" s="34"/>
      <c r="K6" s="34"/>
      <c r="L6" s="34"/>
      <c r="M6" s="32"/>
      <c r="N6" s="32"/>
      <c r="O6" s="34"/>
      <c r="P6" s="34"/>
      <c r="Q6" s="34"/>
      <c r="R6" s="34"/>
      <c r="S6" s="34"/>
      <c r="T6" s="34"/>
      <c r="U6" s="34"/>
      <c r="V6" s="82"/>
      <c r="W6" s="34"/>
      <c r="X6" s="32"/>
      <c r="Y6" s="32"/>
      <c r="Z6" s="32"/>
      <c r="AA6" s="32"/>
      <c r="AB6" s="32"/>
      <c r="AC6" s="21"/>
      <c r="AD6" s="34"/>
      <c r="AE6" s="32"/>
      <c r="AF6" s="32"/>
      <c r="AG6" s="32"/>
      <c r="AH6" s="32"/>
      <c r="AI6" s="32"/>
      <c r="AJ6" s="32"/>
      <c r="AK6" s="32"/>
      <c r="AL6" s="32"/>
      <c r="AM6" s="32"/>
      <c r="AN6" s="32"/>
    </row>
    <row r="7" spans="1:57" s="65" customFormat="1" ht="44.45" customHeight="1" x14ac:dyDescent="0.25">
      <c r="A7" s="293" t="s">
        <v>2</v>
      </c>
      <c r="B7" s="293" t="s">
        <v>88</v>
      </c>
      <c r="C7" s="305" t="s">
        <v>0</v>
      </c>
      <c r="D7" s="305" t="s">
        <v>20</v>
      </c>
      <c r="E7" s="293" t="s">
        <v>194</v>
      </c>
      <c r="F7" s="293"/>
      <c r="G7" s="293" t="s">
        <v>174</v>
      </c>
      <c r="H7" s="293"/>
      <c r="I7" s="293" t="s">
        <v>176</v>
      </c>
      <c r="J7" s="293"/>
      <c r="K7" s="293" t="s">
        <v>177</v>
      </c>
      <c r="L7" s="293"/>
      <c r="M7" s="309" t="s">
        <v>195</v>
      </c>
      <c r="N7" s="310"/>
      <c r="O7" s="293" t="s">
        <v>179</v>
      </c>
      <c r="P7" s="293"/>
      <c r="Q7" s="293" t="s">
        <v>180</v>
      </c>
      <c r="R7" s="309" t="s">
        <v>196</v>
      </c>
      <c r="S7" s="310"/>
      <c r="T7" s="309" t="s">
        <v>197</v>
      </c>
      <c r="U7" s="310"/>
      <c r="V7" s="317" t="s">
        <v>266</v>
      </c>
      <c r="W7" s="317" t="s">
        <v>193</v>
      </c>
      <c r="X7" s="317" t="s">
        <v>182</v>
      </c>
      <c r="Y7" s="317" t="s">
        <v>267</v>
      </c>
      <c r="Z7" s="315" t="s">
        <v>268</v>
      </c>
      <c r="AA7" s="293" t="s">
        <v>315</v>
      </c>
      <c r="AB7" s="293"/>
      <c r="AC7" s="293" t="s">
        <v>184</v>
      </c>
      <c r="AD7" s="293" t="s">
        <v>199</v>
      </c>
      <c r="AE7" s="293" t="s">
        <v>198</v>
      </c>
      <c r="AF7" s="293"/>
      <c r="AG7" s="293"/>
      <c r="AH7" s="293" t="s">
        <v>187</v>
      </c>
      <c r="AI7" s="317" t="s">
        <v>251</v>
      </c>
      <c r="AJ7" s="317" t="s">
        <v>403</v>
      </c>
      <c r="AK7" s="293" t="s">
        <v>188</v>
      </c>
      <c r="AL7" s="320" t="s">
        <v>200</v>
      </c>
      <c r="AM7" s="320" t="s">
        <v>201</v>
      </c>
      <c r="AN7" s="293" t="s">
        <v>192</v>
      </c>
    </row>
    <row r="8" spans="1:57" s="65" customFormat="1" ht="21.6" customHeight="1" x14ac:dyDescent="0.25">
      <c r="A8" s="293"/>
      <c r="B8" s="293"/>
      <c r="C8" s="305"/>
      <c r="D8" s="305"/>
      <c r="E8" s="293"/>
      <c r="F8" s="293"/>
      <c r="G8" s="293"/>
      <c r="H8" s="293"/>
      <c r="I8" s="293"/>
      <c r="J8" s="293"/>
      <c r="K8" s="293"/>
      <c r="L8" s="293"/>
      <c r="M8" s="311"/>
      <c r="N8" s="312"/>
      <c r="O8" s="293"/>
      <c r="P8" s="293"/>
      <c r="Q8" s="293"/>
      <c r="R8" s="311"/>
      <c r="S8" s="312"/>
      <c r="T8" s="311"/>
      <c r="U8" s="312"/>
      <c r="V8" s="319"/>
      <c r="W8" s="319"/>
      <c r="X8" s="319"/>
      <c r="Y8" s="319"/>
      <c r="Z8" s="325"/>
      <c r="AA8" s="293"/>
      <c r="AB8" s="293"/>
      <c r="AC8" s="293"/>
      <c r="AD8" s="293"/>
      <c r="AE8" s="293" t="s">
        <v>15</v>
      </c>
      <c r="AF8" s="293"/>
      <c r="AG8" s="320" t="s">
        <v>316</v>
      </c>
      <c r="AH8" s="293"/>
      <c r="AI8" s="319"/>
      <c r="AJ8" s="319"/>
      <c r="AK8" s="293"/>
      <c r="AL8" s="320"/>
      <c r="AM8" s="320"/>
      <c r="AN8" s="293"/>
    </row>
    <row r="9" spans="1:57" s="65" customFormat="1" ht="17.45" customHeight="1" x14ac:dyDescent="0.25">
      <c r="A9" s="293"/>
      <c r="B9" s="293"/>
      <c r="C9" s="305"/>
      <c r="D9" s="305"/>
      <c r="E9" s="293"/>
      <c r="F9" s="293"/>
      <c r="G9" s="293"/>
      <c r="H9" s="293"/>
      <c r="I9" s="293"/>
      <c r="J9" s="293"/>
      <c r="K9" s="293"/>
      <c r="L9" s="293"/>
      <c r="M9" s="311"/>
      <c r="N9" s="312"/>
      <c r="O9" s="293"/>
      <c r="P9" s="293"/>
      <c r="Q9" s="293"/>
      <c r="R9" s="311"/>
      <c r="S9" s="312"/>
      <c r="T9" s="311"/>
      <c r="U9" s="312"/>
      <c r="V9" s="319"/>
      <c r="W9" s="319"/>
      <c r="X9" s="319"/>
      <c r="Y9" s="319"/>
      <c r="Z9" s="325"/>
      <c r="AA9" s="293"/>
      <c r="AB9" s="293"/>
      <c r="AC9" s="293"/>
      <c r="AD9" s="293"/>
      <c r="AE9" s="293"/>
      <c r="AF9" s="293"/>
      <c r="AG9" s="320"/>
      <c r="AH9" s="293"/>
      <c r="AI9" s="319"/>
      <c r="AJ9" s="319"/>
      <c r="AK9" s="293"/>
      <c r="AL9" s="320"/>
      <c r="AM9" s="320"/>
      <c r="AN9" s="293"/>
    </row>
    <row r="10" spans="1:57" s="65" customFormat="1" ht="53.25" customHeight="1" x14ac:dyDescent="0.25">
      <c r="A10" s="293"/>
      <c r="B10" s="293"/>
      <c r="C10" s="305"/>
      <c r="D10" s="305"/>
      <c r="E10" s="293" t="s">
        <v>21</v>
      </c>
      <c r="F10" s="293" t="s">
        <v>22</v>
      </c>
      <c r="G10" s="293"/>
      <c r="H10" s="293"/>
      <c r="I10" s="293"/>
      <c r="J10" s="293"/>
      <c r="K10" s="293"/>
      <c r="L10" s="293"/>
      <c r="M10" s="311"/>
      <c r="N10" s="312"/>
      <c r="O10" s="293"/>
      <c r="P10" s="293"/>
      <c r="Q10" s="293"/>
      <c r="R10" s="311"/>
      <c r="S10" s="312"/>
      <c r="T10" s="311"/>
      <c r="U10" s="312"/>
      <c r="V10" s="319"/>
      <c r="W10" s="319"/>
      <c r="X10" s="319"/>
      <c r="Y10" s="319"/>
      <c r="Z10" s="325"/>
      <c r="AA10" s="293"/>
      <c r="AB10" s="293"/>
      <c r="AC10" s="293"/>
      <c r="AD10" s="293"/>
      <c r="AE10" s="293"/>
      <c r="AF10" s="293"/>
      <c r="AG10" s="320"/>
      <c r="AH10" s="293"/>
      <c r="AI10" s="319"/>
      <c r="AJ10" s="319"/>
      <c r="AK10" s="293"/>
      <c r="AL10" s="320"/>
      <c r="AM10" s="320"/>
      <c r="AN10" s="293"/>
    </row>
    <row r="11" spans="1:57" s="65" customFormat="1" ht="27.75" customHeight="1" x14ac:dyDescent="0.25">
      <c r="A11" s="293"/>
      <c r="B11" s="293"/>
      <c r="C11" s="305"/>
      <c r="D11" s="305"/>
      <c r="E11" s="293"/>
      <c r="F11" s="293"/>
      <c r="G11" s="293"/>
      <c r="H11" s="293"/>
      <c r="I11" s="293"/>
      <c r="J11" s="293"/>
      <c r="K11" s="293"/>
      <c r="L11" s="293"/>
      <c r="M11" s="313"/>
      <c r="N11" s="314"/>
      <c r="O11" s="293"/>
      <c r="P11" s="293"/>
      <c r="Q11" s="293"/>
      <c r="R11" s="313"/>
      <c r="S11" s="314"/>
      <c r="T11" s="313"/>
      <c r="U11" s="314"/>
      <c r="V11" s="319"/>
      <c r="W11" s="319"/>
      <c r="X11" s="319"/>
      <c r="Y11" s="319"/>
      <c r="Z11" s="325"/>
      <c r="AA11" s="293"/>
      <c r="AB11" s="293"/>
      <c r="AC11" s="293"/>
      <c r="AD11" s="293"/>
      <c r="AE11" s="293"/>
      <c r="AF11" s="293"/>
      <c r="AG11" s="320"/>
      <c r="AH11" s="293"/>
      <c r="AI11" s="319"/>
      <c r="AJ11" s="319"/>
      <c r="AK11" s="293"/>
      <c r="AL11" s="320"/>
      <c r="AM11" s="320"/>
      <c r="AN11" s="293"/>
    </row>
    <row r="12" spans="1:57" s="65" customFormat="1" ht="40.5" customHeight="1" x14ac:dyDescent="0.25">
      <c r="A12" s="293"/>
      <c r="B12" s="293"/>
      <c r="C12" s="305"/>
      <c r="D12" s="305"/>
      <c r="E12" s="293"/>
      <c r="F12" s="293"/>
      <c r="G12" s="92" t="s">
        <v>1</v>
      </c>
      <c r="H12" s="92" t="s">
        <v>142</v>
      </c>
      <c r="I12" s="92" t="s">
        <v>7</v>
      </c>
      <c r="J12" s="92" t="s">
        <v>142</v>
      </c>
      <c r="K12" s="92" t="s">
        <v>8</v>
      </c>
      <c r="L12" s="92" t="s">
        <v>142</v>
      </c>
      <c r="M12" s="95" t="s">
        <v>10</v>
      </c>
      <c r="N12" s="93" t="s">
        <v>142</v>
      </c>
      <c r="O12" s="99" t="s">
        <v>1</v>
      </c>
      <c r="P12" s="92" t="s">
        <v>142</v>
      </c>
      <c r="Q12" s="293"/>
      <c r="R12" s="92" t="s">
        <v>1</v>
      </c>
      <c r="S12" s="92" t="s">
        <v>142</v>
      </c>
      <c r="T12" s="92" t="s">
        <v>1</v>
      </c>
      <c r="U12" s="92" t="s">
        <v>142</v>
      </c>
      <c r="V12" s="318"/>
      <c r="W12" s="318"/>
      <c r="X12" s="318"/>
      <c r="Y12" s="318"/>
      <c r="Z12" s="316"/>
      <c r="AA12" s="99" t="s">
        <v>1</v>
      </c>
      <c r="AB12" s="92" t="s">
        <v>142</v>
      </c>
      <c r="AC12" s="293"/>
      <c r="AD12" s="293"/>
      <c r="AE12" s="92" t="s">
        <v>19</v>
      </c>
      <c r="AF12" s="92" t="s">
        <v>142</v>
      </c>
      <c r="AG12" s="320"/>
      <c r="AH12" s="293"/>
      <c r="AI12" s="318"/>
      <c r="AJ12" s="318"/>
      <c r="AK12" s="293"/>
      <c r="AL12" s="320"/>
      <c r="AM12" s="320"/>
      <c r="AN12" s="293"/>
    </row>
    <row r="13" spans="1:57" s="214" customFormat="1" ht="36" x14ac:dyDescent="0.25">
      <c r="A13" s="210">
        <v>1</v>
      </c>
      <c r="B13" s="210">
        <v>2</v>
      </c>
      <c r="C13" s="210">
        <v>3</v>
      </c>
      <c r="D13" s="210">
        <v>4</v>
      </c>
      <c r="E13" s="210">
        <v>5</v>
      </c>
      <c r="F13" s="210" t="s">
        <v>12</v>
      </c>
      <c r="G13" s="211">
        <v>7</v>
      </c>
      <c r="H13" s="211" t="s">
        <v>13</v>
      </c>
      <c r="I13" s="210">
        <v>9</v>
      </c>
      <c r="J13" s="210">
        <v>10</v>
      </c>
      <c r="K13" s="210">
        <v>11</v>
      </c>
      <c r="L13" s="210">
        <v>12</v>
      </c>
      <c r="M13" s="210">
        <v>13</v>
      </c>
      <c r="N13" s="210">
        <v>14</v>
      </c>
      <c r="O13" s="210">
        <v>15</v>
      </c>
      <c r="P13" s="210" t="s">
        <v>14</v>
      </c>
      <c r="Q13" s="210" t="s">
        <v>42</v>
      </c>
      <c r="R13" s="210">
        <v>18</v>
      </c>
      <c r="S13" s="210" t="s">
        <v>39</v>
      </c>
      <c r="T13" s="212">
        <v>20</v>
      </c>
      <c r="U13" s="210" t="s">
        <v>40</v>
      </c>
      <c r="V13" s="210" t="s">
        <v>41</v>
      </c>
      <c r="W13" s="210" t="s">
        <v>546</v>
      </c>
      <c r="X13" s="210" t="s">
        <v>269</v>
      </c>
      <c r="Y13" s="210" t="s">
        <v>270</v>
      </c>
      <c r="Z13" s="210">
        <v>26</v>
      </c>
      <c r="AA13" s="210">
        <v>27</v>
      </c>
      <c r="AB13" s="210">
        <v>28</v>
      </c>
      <c r="AC13" s="210" t="s">
        <v>547</v>
      </c>
      <c r="AD13" s="212">
        <v>30</v>
      </c>
      <c r="AE13" s="211">
        <v>31</v>
      </c>
      <c r="AF13" s="211" t="s">
        <v>271</v>
      </c>
      <c r="AG13" s="213">
        <v>33</v>
      </c>
      <c r="AH13" s="210" t="s">
        <v>272</v>
      </c>
      <c r="AI13" s="210" t="s">
        <v>273</v>
      </c>
      <c r="AJ13" s="210">
        <v>36</v>
      </c>
      <c r="AK13" s="210" t="s">
        <v>373</v>
      </c>
      <c r="AL13" s="213" t="s">
        <v>374</v>
      </c>
      <c r="AM13" s="213" t="s">
        <v>435</v>
      </c>
      <c r="AN13" s="210" t="s">
        <v>375</v>
      </c>
    </row>
    <row r="14" spans="1:57" s="150" customFormat="1" ht="41.25" customHeight="1" x14ac:dyDescent="0.2">
      <c r="A14" s="147"/>
      <c r="B14" s="215" t="s">
        <v>318</v>
      </c>
      <c r="C14" s="147"/>
      <c r="D14" s="131">
        <f>SUM(D15:D24)</f>
        <v>1</v>
      </c>
      <c r="E14" s="216">
        <f t="shared" ref="E14:AM14" si="0">SUM(E15:E24)</f>
        <v>1360</v>
      </c>
      <c r="F14" s="216">
        <f t="shared" si="0"/>
        <v>1360</v>
      </c>
      <c r="G14" s="216"/>
      <c r="H14" s="216">
        <f t="shared" si="0"/>
        <v>340</v>
      </c>
      <c r="I14" s="216"/>
      <c r="J14" s="216">
        <f t="shared" si="0"/>
        <v>600</v>
      </c>
      <c r="K14" s="216"/>
      <c r="L14" s="216">
        <f t="shared" si="0"/>
        <v>100</v>
      </c>
      <c r="M14" s="216">
        <f t="shared" si="0"/>
        <v>0</v>
      </c>
      <c r="N14" s="216">
        <f t="shared" si="0"/>
        <v>0</v>
      </c>
      <c r="O14" s="216"/>
      <c r="P14" s="216">
        <f t="shared" si="0"/>
        <v>204</v>
      </c>
      <c r="Q14" s="216">
        <f t="shared" si="0"/>
        <v>408</v>
      </c>
      <c r="R14" s="216"/>
      <c r="S14" s="216">
        <f t="shared" si="0"/>
        <v>408</v>
      </c>
      <c r="T14" s="216"/>
      <c r="U14" s="216">
        <f t="shared" si="0"/>
        <v>340</v>
      </c>
      <c r="V14" s="216">
        <f t="shared" si="0"/>
        <v>272</v>
      </c>
      <c r="W14" s="216">
        <f t="shared" si="0"/>
        <v>204</v>
      </c>
      <c r="X14" s="216">
        <f t="shared" si="0"/>
        <v>136</v>
      </c>
      <c r="Y14" s="216">
        <f t="shared" si="0"/>
        <v>272</v>
      </c>
      <c r="Z14" s="216">
        <f t="shared" si="0"/>
        <v>50</v>
      </c>
      <c r="AA14" s="216">
        <f t="shared" si="0"/>
        <v>0</v>
      </c>
      <c r="AB14" s="216">
        <f t="shared" si="0"/>
        <v>0</v>
      </c>
      <c r="AC14" s="217">
        <f t="shared" si="0"/>
        <v>4694</v>
      </c>
      <c r="AD14" s="217">
        <f t="shared" si="0"/>
        <v>4694</v>
      </c>
      <c r="AE14" s="217">
        <f t="shared" si="0"/>
        <v>2</v>
      </c>
      <c r="AF14" s="217">
        <f t="shared" si="0"/>
        <v>4694</v>
      </c>
      <c r="AG14" s="217">
        <f t="shared" si="0"/>
        <v>4694</v>
      </c>
      <c r="AH14" s="217">
        <f t="shared" si="0"/>
        <v>1360</v>
      </c>
      <c r="AI14" s="217">
        <f t="shared" si="0"/>
        <v>504.5</v>
      </c>
      <c r="AJ14" s="217">
        <f t="shared" si="0"/>
        <v>0</v>
      </c>
      <c r="AK14" s="217">
        <f t="shared" si="0"/>
        <v>67.599999999999994</v>
      </c>
      <c r="AL14" s="217">
        <f t="shared" si="0"/>
        <v>14.5</v>
      </c>
      <c r="AM14" s="217">
        <f t="shared" si="0"/>
        <v>3</v>
      </c>
      <c r="AN14" s="217">
        <f>SUM(AN15:AN24)</f>
        <v>85.1</v>
      </c>
    </row>
    <row r="15" spans="1:57" s="65" customFormat="1" ht="14.45" customHeight="1" x14ac:dyDescent="0.25">
      <c r="A15" s="18">
        <v>1</v>
      </c>
      <c r="B15" s="18" t="s">
        <v>395</v>
      </c>
      <c r="C15" s="18">
        <v>14</v>
      </c>
      <c r="D15" s="17">
        <v>1</v>
      </c>
      <c r="E15" s="17">
        <v>1360</v>
      </c>
      <c r="F15" s="17">
        <f>D15*E15</f>
        <v>1360</v>
      </c>
      <c r="G15" s="194">
        <f>25%</f>
        <v>0.25</v>
      </c>
      <c r="H15" s="17">
        <f>F15*G15</f>
        <v>340</v>
      </c>
      <c r="I15" s="195" t="s">
        <v>436</v>
      </c>
      <c r="J15" s="17">
        <v>600</v>
      </c>
      <c r="K15" s="195" t="s">
        <v>437</v>
      </c>
      <c r="L15" s="17">
        <v>100</v>
      </c>
      <c r="M15" s="189"/>
      <c r="N15" s="17"/>
      <c r="O15" s="194">
        <f>15%</f>
        <v>0.15</v>
      </c>
      <c r="P15" s="17">
        <f>F15*O15</f>
        <v>204</v>
      </c>
      <c r="Q15" s="17">
        <f>F15*30%</f>
        <v>408</v>
      </c>
      <c r="R15" s="194">
        <f>30%</f>
        <v>0.3</v>
      </c>
      <c r="S15" s="17">
        <f>F15*R15</f>
        <v>408</v>
      </c>
      <c r="T15" s="194">
        <f>25%</f>
        <v>0.25</v>
      </c>
      <c r="U15" s="17">
        <f>F15*T15</f>
        <v>340</v>
      </c>
      <c r="V15" s="17">
        <f>F15*20%</f>
        <v>272</v>
      </c>
      <c r="W15" s="17">
        <f>F15*15%</f>
        <v>204</v>
      </c>
      <c r="X15" s="17">
        <f>F15*10%</f>
        <v>136</v>
      </c>
      <c r="Y15" s="17">
        <f>F15*20%</f>
        <v>272</v>
      </c>
      <c r="Z15" s="17">
        <v>50</v>
      </c>
      <c r="AA15" s="17"/>
      <c r="AB15" s="17"/>
      <c r="AC15" s="201">
        <f>ROUND(F15+H15+J15+L15+N15+P15+Q15+S15+U15+V15+W15+X15+Y15+Z15+AB15,1)</f>
        <v>4694</v>
      </c>
      <c r="AD15" s="201">
        <f>AC15</f>
        <v>4694</v>
      </c>
      <c r="AE15" s="201">
        <v>2</v>
      </c>
      <c r="AF15" s="201">
        <f>AC15*AE15-AD15</f>
        <v>4694</v>
      </c>
      <c r="AG15" s="204">
        <f>IF(AF15&gt;6650*D15,6650*D15,AF15)</f>
        <v>4694</v>
      </c>
      <c r="AH15" s="201">
        <f>F15</f>
        <v>1360</v>
      </c>
      <c r="AI15" s="201">
        <f>(AH15+AD15)/12</f>
        <v>504.5</v>
      </c>
      <c r="AJ15" s="201"/>
      <c r="AK15" s="209">
        <f>ROUND((AC15*12+AD15+AF15+AH15+AI15+AJ15)/1000,1)</f>
        <v>67.599999999999994</v>
      </c>
      <c r="AL15" s="201">
        <f>ROUND((AK15-AG15/1000)*23%,1)</f>
        <v>14.5</v>
      </c>
      <c r="AM15" s="201">
        <f>ROUND(AK15*4.5%,1)</f>
        <v>3</v>
      </c>
      <c r="AN15" s="201">
        <f>AK15+AL15+AM15</f>
        <v>85.1</v>
      </c>
    </row>
    <row r="16" spans="1:57" s="65" customFormat="1" ht="14.45" customHeight="1" x14ac:dyDescent="0.25">
      <c r="A16" s="18">
        <v>2</v>
      </c>
      <c r="B16" s="18"/>
      <c r="C16" s="18"/>
      <c r="D16" s="17"/>
      <c r="E16" s="17"/>
      <c r="F16" s="17">
        <f t="shared" ref="F16:F24" si="1">D16*E16</f>
        <v>0</v>
      </c>
      <c r="G16" s="194"/>
      <c r="H16" s="17">
        <f t="shared" ref="H16:H24" si="2">F16*G16</f>
        <v>0</v>
      </c>
      <c r="I16" s="195"/>
      <c r="J16" s="17"/>
      <c r="K16" s="195"/>
      <c r="L16" s="17"/>
      <c r="M16" s="189"/>
      <c r="N16" s="17"/>
      <c r="O16" s="194"/>
      <c r="P16" s="17">
        <f t="shared" ref="P16:P24" si="3">F16*O16</f>
        <v>0</v>
      </c>
      <c r="Q16" s="17">
        <f t="shared" ref="Q16:Q24" si="4">F16*30%</f>
        <v>0</v>
      </c>
      <c r="R16" s="194"/>
      <c r="S16" s="17">
        <f t="shared" ref="S16:S24" si="5">F16*R16</f>
        <v>0</v>
      </c>
      <c r="T16" s="194"/>
      <c r="U16" s="17">
        <f t="shared" ref="U16:U24" si="6">F16*T16</f>
        <v>0</v>
      </c>
      <c r="V16" s="17">
        <f t="shared" ref="V16:V24" si="7">F16*20%</f>
        <v>0</v>
      </c>
      <c r="W16" s="17">
        <f t="shared" ref="W16:W24" si="8">F16*15%</f>
        <v>0</v>
      </c>
      <c r="X16" s="17">
        <f t="shared" ref="X16:X24" si="9">F16*10%</f>
        <v>0</v>
      </c>
      <c r="Y16" s="17">
        <f t="shared" ref="Y16:Y24" si="10">F16*20%</f>
        <v>0</v>
      </c>
      <c r="Z16" s="17"/>
      <c r="AA16" s="17"/>
      <c r="AB16" s="17"/>
      <c r="AC16" s="201">
        <f t="shared" ref="AC16:AC24" si="11">ROUND(F16+H16+J16+L16+N16+P16+Q16+S16+U16+V16+W16+X16+Y16+Z16+AB16,1)</f>
        <v>0</v>
      </c>
      <c r="AD16" s="201">
        <f t="shared" ref="AD16:AD24" si="12">AC16</f>
        <v>0</v>
      </c>
      <c r="AE16" s="201"/>
      <c r="AF16" s="201">
        <f t="shared" ref="AF16:AF24" si="13">AC16*AE16-AD16</f>
        <v>0</v>
      </c>
      <c r="AG16" s="204">
        <f t="shared" ref="AG16:AG24" si="14">IF(AF16&gt;6650*D16,6650*D16,AF16)</f>
        <v>0</v>
      </c>
      <c r="AH16" s="201">
        <f t="shared" ref="AH16:AH24" si="15">F16</f>
        <v>0</v>
      </c>
      <c r="AI16" s="201">
        <f t="shared" ref="AI16:AI23" si="16">(AH16+AD16)/12</f>
        <v>0</v>
      </c>
      <c r="AJ16" s="201"/>
      <c r="AK16" s="209">
        <f t="shared" ref="AK16:AK24" si="17">ROUND((AC16*12+AD16+AF16+AH16+AI16+AJ16)/1000,1)</f>
        <v>0</v>
      </c>
      <c r="AL16" s="201">
        <f t="shared" ref="AL16:AL24" si="18">ROUND((AK16-AG16/1000)*23%,1)</f>
        <v>0</v>
      </c>
      <c r="AM16" s="201">
        <f t="shared" ref="AM16:AM24" si="19">ROUND(AK16*4.5%,1)</f>
        <v>0</v>
      </c>
      <c r="AN16" s="201">
        <f t="shared" ref="AN16:AN24" si="20">AK16+AL16+AM16</f>
        <v>0</v>
      </c>
    </row>
    <row r="17" spans="1:58" s="65" customFormat="1" x14ac:dyDescent="0.25">
      <c r="A17" s="18">
        <v>3</v>
      </c>
      <c r="B17" s="18"/>
      <c r="C17" s="18"/>
      <c r="D17" s="17"/>
      <c r="E17" s="17"/>
      <c r="F17" s="17">
        <f t="shared" si="1"/>
        <v>0</v>
      </c>
      <c r="G17" s="194"/>
      <c r="H17" s="17">
        <f t="shared" si="2"/>
        <v>0</v>
      </c>
      <c r="I17" s="195"/>
      <c r="J17" s="17"/>
      <c r="K17" s="195"/>
      <c r="L17" s="17"/>
      <c r="M17" s="189"/>
      <c r="N17" s="17"/>
      <c r="O17" s="194"/>
      <c r="P17" s="17">
        <f t="shared" si="3"/>
        <v>0</v>
      </c>
      <c r="Q17" s="17">
        <f t="shared" si="4"/>
        <v>0</v>
      </c>
      <c r="R17" s="194"/>
      <c r="S17" s="17">
        <f t="shared" si="5"/>
        <v>0</v>
      </c>
      <c r="T17" s="194"/>
      <c r="U17" s="17">
        <f t="shared" si="6"/>
        <v>0</v>
      </c>
      <c r="V17" s="17">
        <f t="shared" si="7"/>
        <v>0</v>
      </c>
      <c r="W17" s="17">
        <f t="shared" si="8"/>
        <v>0</v>
      </c>
      <c r="X17" s="17">
        <f t="shared" si="9"/>
        <v>0</v>
      </c>
      <c r="Y17" s="17">
        <f t="shared" si="10"/>
        <v>0</v>
      </c>
      <c r="Z17" s="17"/>
      <c r="AA17" s="17"/>
      <c r="AB17" s="17"/>
      <c r="AC17" s="201">
        <f t="shared" si="11"/>
        <v>0</v>
      </c>
      <c r="AD17" s="201">
        <f t="shared" si="12"/>
        <v>0</v>
      </c>
      <c r="AE17" s="201"/>
      <c r="AF17" s="201">
        <f t="shared" si="13"/>
        <v>0</v>
      </c>
      <c r="AG17" s="204">
        <f t="shared" si="14"/>
        <v>0</v>
      </c>
      <c r="AH17" s="201">
        <f t="shared" si="15"/>
        <v>0</v>
      </c>
      <c r="AI17" s="201">
        <f t="shared" si="16"/>
        <v>0</v>
      </c>
      <c r="AJ17" s="201"/>
      <c r="AK17" s="209">
        <f t="shared" si="17"/>
        <v>0</v>
      </c>
      <c r="AL17" s="201">
        <f t="shared" si="18"/>
        <v>0</v>
      </c>
      <c r="AM17" s="201">
        <f t="shared" si="19"/>
        <v>0</v>
      </c>
      <c r="AN17" s="201">
        <f t="shared" si="20"/>
        <v>0</v>
      </c>
    </row>
    <row r="18" spans="1:58" s="65" customFormat="1" ht="14.45" customHeight="1" x14ac:dyDescent="0.25">
      <c r="A18" s="18"/>
      <c r="B18" s="18"/>
      <c r="C18" s="18"/>
      <c r="D18" s="17"/>
      <c r="E18" s="17"/>
      <c r="F18" s="17">
        <f t="shared" si="1"/>
        <v>0</v>
      </c>
      <c r="G18" s="194"/>
      <c r="H18" s="17">
        <f t="shared" si="2"/>
        <v>0</v>
      </c>
      <c r="I18" s="195"/>
      <c r="J18" s="17"/>
      <c r="K18" s="195"/>
      <c r="L18" s="17"/>
      <c r="M18" s="189"/>
      <c r="N18" s="17"/>
      <c r="O18" s="194"/>
      <c r="P18" s="17">
        <f t="shared" si="3"/>
        <v>0</v>
      </c>
      <c r="Q18" s="17">
        <f t="shared" si="4"/>
        <v>0</v>
      </c>
      <c r="R18" s="194"/>
      <c r="S18" s="17">
        <f t="shared" si="5"/>
        <v>0</v>
      </c>
      <c r="T18" s="194"/>
      <c r="U18" s="17">
        <f t="shared" si="6"/>
        <v>0</v>
      </c>
      <c r="V18" s="17">
        <f t="shared" si="7"/>
        <v>0</v>
      </c>
      <c r="W18" s="17">
        <f t="shared" si="8"/>
        <v>0</v>
      </c>
      <c r="X18" s="17">
        <f t="shared" si="9"/>
        <v>0</v>
      </c>
      <c r="Y18" s="17">
        <f t="shared" si="10"/>
        <v>0</v>
      </c>
      <c r="Z18" s="17"/>
      <c r="AA18" s="17"/>
      <c r="AB18" s="17"/>
      <c r="AC18" s="201">
        <f t="shared" si="11"/>
        <v>0</v>
      </c>
      <c r="AD18" s="201">
        <f t="shared" si="12"/>
        <v>0</v>
      </c>
      <c r="AE18" s="201"/>
      <c r="AF18" s="201">
        <f t="shared" si="13"/>
        <v>0</v>
      </c>
      <c r="AG18" s="204">
        <f t="shared" si="14"/>
        <v>0</v>
      </c>
      <c r="AH18" s="201">
        <f t="shared" si="15"/>
        <v>0</v>
      </c>
      <c r="AI18" s="201">
        <f t="shared" si="16"/>
        <v>0</v>
      </c>
      <c r="AJ18" s="201"/>
      <c r="AK18" s="209">
        <f t="shared" si="17"/>
        <v>0</v>
      </c>
      <c r="AL18" s="201">
        <f t="shared" si="18"/>
        <v>0</v>
      </c>
      <c r="AM18" s="201">
        <f t="shared" si="19"/>
        <v>0</v>
      </c>
      <c r="AN18" s="201">
        <f t="shared" si="20"/>
        <v>0</v>
      </c>
    </row>
    <row r="19" spans="1:58" s="65" customFormat="1" ht="14.45" customHeight="1" x14ac:dyDescent="0.25">
      <c r="A19" s="18"/>
      <c r="B19" s="18"/>
      <c r="C19" s="18"/>
      <c r="D19" s="17"/>
      <c r="E19" s="17"/>
      <c r="F19" s="17">
        <f t="shared" si="1"/>
        <v>0</v>
      </c>
      <c r="G19" s="194"/>
      <c r="H19" s="17">
        <f t="shared" si="2"/>
        <v>0</v>
      </c>
      <c r="I19" s="195"/>
      <c r="J19" s="17"/>
      <c r="K19" s="195"/>
      <c r="L19" s="17"/>
      <c r="M19" s="189"/>
      <c r="N19" s="17"/>
      <c r="O19" s="194"/>
      <c r="P19" s="17">
        <f t="shared" si="3"/>
        <v>0</v>
      </c>
      <c r="Q19" s="17">
        <f t="shared" si="4"/>
        <v>0</v>
      </c>
      <c r="R19" s="194"/>
      <c r="S19" s="17">
        <f t="shared" si="5"/>
        <v>0</v>
      </c>
      <c r="T19" s="194"/>
      <c r="U19" s="17">
        <f t="shared" si="6"/>
        <v>0</v>
      </c>
      <c r="V19" s="17">
        <f t="shared" si="7"/>
        <v>0</v>
      </c>
      <c r="W19" s="17">
        <f t="shared" si="8"/>
        <v>0</v>
      </c>
      <c r="X19" s="17">
        <f t="shared" si="9"/>
        <v>0</v>
      </c>
      <c r="Y19" s="17">
        <f t="shared" si="10"/>
        <v>0</v>
      </c>
      <c r="Z19" s="17"/>
      <c r="AA19" s="17"/>
      <c r="AB19" s="17"/>
      <c r="AC19" s="201">
        <f t="shared" si="11"/>
        <v>0</v>
      </c>
      <c r="AD19" s="201">
        <f t="shared" si="12"/>
        <v>0</v>
      </c>
      <c r="AE19" s="201"/>
      <c r="AF19" s="201">
        <f t="shared" si="13"/>
        <v>0</v>
      </c>
      <c r="AG19" s="204">
        <f t="shared" si="14"/>
        <v>0</v>
      </c>
      <c r="AH19" s="201">
        <f t="shared" si="15"/>
        <v>0</v>
      </c>
      <c r="AI19" s="201">
        <f t="shared" si="16"/>
        <v>0</v>
      </c>
      <c r="AJ19" s="201"/>
      <c r="AK19" s="209">
        <f t="shared" si="17"/>
        <v>0</v>
      </c>
      <c r="AL19" s="201">
        <f t="shared" si="18"/>
        <v>0</v>
      </c>
      <c r="AM19" s="201">
        <f t="shared" si="19"/>
        <v>0</v>
      </c>
      <c r="AN19" s="201">
        <f t="shared" si="20"/>
        <v>0</v>
      </c>
    </row>
    <row r="20" spans="1:58" s="65" customFormat="1" ht="14.45" customHeight="1" x14ac:dyDescent="0.25">
      <c r="A20" s="18"/>
      <c r="B20" s="18"/>
      <c r="C20" s="18"/>
      <c r="D20" s="17"/>
      <c r="E20" s="17"/>
      <c r="F20" s="17">
        <f t="shared" si="1"/>
        <v>0</v>
      </c>
      <c r="G20" s="194"/>
      <c r="H20" s="17">
        <f t="shared" si="2"/>
        <v>0</v>
      </c>
      <c r="I20" s="195"/>
      <c r="J20" s="17"/>
      <c r="K20" s="195"/>
      <c r="L20" s="17"/>
      <c r="M20" s="189"/>
      <c r="N20" s="17"/>
      <c r="O20" s="194"/>
      <c r="P20" s="17">
        <f t="shared" si="3"/>
        <v>0</v>
      </c>
      <c r="Q20" s="17">
        <f t="shared" si="4"/>
        <v>0</v>
      </c>
      <c r="R20" s="194"/>
      <c r="S20" s="17">
        <f t="shared" si="5"/>
        <v>0</v>
      </c>
      <c r="T20" s="194"/>
      <c r="U20" s="17">
        <f t="shared" si="6"/>
        <v>0</v>
      </c>
      <c r="V20" s="17">
        <f t="shared" si="7"/>
        <v>0</v>
      </c>
      <c r="W20" s="17">
        <f t="shared" si="8"/>
        <v>0</v>
      </c>
      <c r="X20" s="17">
        <f t="shared" si="9"/>
        <v>0</v>
      </c>
      <c r="Y20" s="17">
        <f t="shared" si="10"/>
        <v>0</v>
      </c>
      <c r="Z20" s="17"/>
      <c r="AA20" s="17"/>
      <c r="AB20" s="17"/>
      <c r="AC20" s="201">
        <f t="shared" si="11"/>
        <v>0</v>
      </c>
      <c r="AD20" s="201">
        <f t="shared" si="12"/>
        <v>0</v>
      </c>
      <c r="AE20" s="201"/>
      <c r="AF20" s="201">
        <f t="shared" si="13"/>
        <v>0</v>
      </c>
      <c r="AG20" s="204">
        <f t="shared" si="14"/>
        <v>0</v>
      </c>
      <c r="AH20" s="201">
        <f t="shared" si="15"/>
        <v>0</v>
      </c>
      <c r="AI20" s="201">
        <f t="shared" si="16"/>
        <v>0</v>
      </c>
      <c r="AJ20" s="201"/>
      <c r="AK20" s="209">
        <f t="shared" si="17"/>
        <v>0</v>
      </c>
      <c r="AL20" s="201">
        <f t="shared" si="18"/>
        <v>0</v>
      </c>
      <c r="AM20" s="201">
        <f t="shared" si="19"/>
        <v>0</v>
      </c>
      <c r="AN20" s="201">
        <f t="shared" si="20"/>
        <v>0</v>
      </c>
    </row>
    <row r="21" spans="1:58" s="65" customFormat="1" ht="14.45" customHeight="1" x14ac:dyDescent="0.25">
      <c r="A21" s="18"/>
      <c r="B21" s="18"/>
      <c r="C21" s="18"/>
      <c r="D21" s="17"/>
      <c r="E21" s="17"/>
      <c r="F21" s="17">
        <f t="shared" si="1"/>
        <v>0</v>
      </c>
      <c r="G21" s="194"/>
      <c r="H21" s="17">
        <f t="shared" si="2"/>
        <v>0</v>
      </c>
      <c r="I21" s="195"/>
      <c r="J21" s="17"/>
      <c r="K21" s="195"/>
      <c r="L21" s="17"/>
      <c r="M21" s="189"/>
      <c r="N21" s="17"/>
      <c r="O21" s="194"/>
      <c r="P21" s="17">
        <f t="shared" si="3"/>
        <v>0</v>
      </c>
      <c r="Q21" s="17">
        <f t="shared" si="4"/>
        <v>0</v>
      </c>
      <c r="R21" s="194"/>
      <c r="S21" s="17">
        <f t="shared" si="5"/>
        <v>0</v>
      </c>
      <c r="T21" s="194"/>
      <c r="U21" s="17">
        <f t="shared" si="6"/>
        <v>0</v>
      </c>
      <c r="V21" s="17">
        <f t="shared" si="7"/>
        <v>0</v>
      </c>
      <c r="W21" s="17">
        <f t="shared" si="8"/>
        <v>0</v>
      </c>
      <c r="X21" s="17">
        <f t="shared" si="9"/>
        <v>0</v>
      </c>
      <c r="Y21" s="17">
        <f t="shared" si="10"/>
        <v>0</v>
      </c>
      <c r="Z21" s="17"/>
      <c r="AA21" s="17"/>
      <c r="AB21" s="17"/>
      <c r="AC21" s="201">
        <f t="shared" si="11"/>
        <v>0</v>
      </c>
      <c r="AD21" s="201">
        <f t="shared" si="12"/>
        <v>0</v>
      </c>
      <c r="AE21" s="201"/>
      <c r="AF21" s="201">
        <f t="shared" si="13"/>
        <v>0</v>
      </c>
      <c r="AG21" s="204">
        <f t="shared" si="14"/>
        <v>0</v>
      </c>
      <c r="AH21" s="201">
        <f t="shared" si="15"/>
        <v>0</v>
      </c>
      <c r="AI21" s="201">
        <f t="shared" si="16"/>
        <v>0</v>
      </c>
      <c r="AJ21" s="201"/>
      <c r="AK21" s="209">
        <f t="shared" si="17"/>
        <v>0</v>
      </c>
      <c r="AL21" s="201">
        <f t="shared" si="18"/>
        <v>0</v>
      </c>
      <c r="AM21" s="201">
        <f t="shared" si="19"/>
        <v>0</v>
      </c>
      <c r="AN21" s="201">
        <f t="shared" si="20"/>
        <v>0</v>
      </c>
    </row>
    <row r="22" spans="1:58" s="65" customFormat="1" x14ac:dyDescent="0.25">
      <c r="A22" s="18"/>
      <c r="B22" s="18"/>
      <c r="C22" s="18"/>
      <c r="D22" s="17"/>
      <c r="E22" s="17"/>
      <c r="F22" s="17">
        <f t="shared" si="1"/>
        <v>0</v>
      </c>
      <c r="G22" s="194"/>
      <c r="H22" s="17">
        <f t="shared" si="2"/>
        <v>0</v>
      </c>
      <c r="I22" s="195"/>
      <c r="J22" s="17"/>
      <c r="K22" s="195"/>
      <c r="L22" s="17"/>
      <c r="M22" s="189"/>
      <c r="N22" s="17"/>
      <c r="O22" s="194"/>
      <c r="P22" s="17">
        <f t="shared" si="3"/>
        <v>0</v>
      </c>
      <c r="Q22" s="17">
        <f t="shared" si="4"/>
        <v>0</v>
      </c>
      <c r="R22" s="194"/>
      <c r="S22" s="17">
        <f t="shared" si="5"/>
        <v>0</v>
      </c>
      <c r="T22" s="194"/>
      <c r="U22" s="17">
        <f t="shared" si="6"/>
        <v>0</v>
      </c>
      <c r="V22" s="17">
        <f t="shared" si="7"/>
        <v>0</v>
      </c>
      <c r="W22" s="17">
        <f t="shared" si="8"/>
        <v>0</v>
      </c>
      <c r="X22" s="17">
        <f t="shared" si="9"/>
        <v>0</v>
      </c>
      <c r="Y22" s="17">
        <f t="shared" si="10"/>
        <v>0</v>
      </c>
      <c r="Z22" s="17"/>
      <c r="AA22" s="17"/>
      <c r="AB22" s="17"/>
      <c r="AC22" s="201">
        <f t="shared" si="11"/>
        <v>0</v>
      </c>
      <c r="AD22" s="201">
        <f t="shared" si="12"/>
        <v>0</v>
      </c>
      <c r="AE22" s="201"/>
      <c r="AF22" s="201">
        <f t="shared" si="13"/>
        <v>0</v>
      </c>
      <c r="AG22" s="204">
        <f t="shared" si="14"/>
        <v>0</v>
      </c>
      <c r="AH22" s="201">
        <f t="shared" si="15"/>
        <v>0</v>
      </c>
      <c r="AI22" s="201">
        <f t="shared" si="16"/>
        <v>0</v>
      </c>
      <c r="AJ22" s="201"/>
      <c r="AK22" s="209">
        <f t="shared" si="17"/>
        <v>0</v>
      </c>
      <c r="AL22" s="201">
        <f t="shared" si="18"/>
        <v>0</v>
      </c>
      <c r="AM22" s="201">
        <f t="shared" si="19"/>
        <v>0</v>
      </c>
      <c r="AN22" s="201">
        <f t="shared" si="20"/>
        <v>0</v>
      </c>
    </row>
    <row r="23" spans="1:58" s="65" customFormat="1" x14ac:dyDescent="0.25">
      <c r="A23" s="18"/>
      <c r="B23" s="18"/>
      <c r="C23" s="18"/>
      <c r="D23" s="17"/>
      <c r="E23" s="17"/>
      <c r="F23" s="17">
        <f t="shared" si="1"/>
        <v>0</v>
      </c>
      <c r="G23" s="194"/>
      <c r="H23" s="17">
        <f t="shared" si="2"/>
        <v>0</v>
      </c>
      <c r="I23" s="195"/>
      <c r="J23" s="17"/>
      <c r="K23" s="195"/>
      <c r="L23" s="17"/>
      <c r="M23" s="189"/>
      <c r="N23" s="17"/>
      <c r="O23" s="194"/>
      <c r="P23" s="17">
        <f t="shared" si="3"/>
        <v>0</v>
      </c>
      <c r="Q23" s="17">
        <f t="shared" si="4"/>
        <v>0</v>
      </c>
      <c r="R23" s="194"/>
      <c r="S23" s="17">
        <f t="shared" si="5"/>
        <v>0</v>
      </c>
      <c r="T23" s="194"/>
      <c r="U23" s="17">
        <f t="shared" si="6"/>
        <v>0</v>
      </c>
      <c r="V23" s="17">
        <f t="shared" si="7"/>
        <v>0</v>
      </c>
      <c r="W23" s="17">
        <f t="shared" si="8"/>
        <v>0</v>
      </c>
      <c r="X23" s="17">
        <f t="shared" si="9"/>
        <v>0</v>
      </c>
      <c r="Y23" s="17">
        <f t="shared" si="10"/>
        <v>0</v>
      </c>
      <c r="Z23" s="17"/>
      <c r="AA23" s="17"/>
      <c r="AB23" s="17"/>
      <c r="AC23" s="201">
        <f t="shared" si="11"/>
        <v>0</v>
      </c>
      <c r="AD23" s="201">
        <f t="shared" si="12"/>
        <v>0</v>
      </c>
      <c r="AE23" s="201"/>
      <c r="AF23" s="201">
        <f t="shared" si="13"/>
        <v>0</v>
      </c>
      <c r="AG23" s="204">
        <f t="shared" si="14"/>
        <v>0</v>
      </c>
      <c r="AH23" s="201">
        <f t="shared" si="15"/>
        <v>0</v>
      </c>
      <c r="AI23" s="201">
        <f t="shared" si="16"/>
        <v>0</v>
      </c>
      <c r="AJ23" s="201"/>
      <c r="AK23" s="209">
        <f t="shared" si="17"/>
        <v>0</v>
      </c>
      <c r="AL23" s="201">
        <f t="shared" si="18"/>
        <v>0</v>
      </c>
      <c r="AM23" s="201">
        <f t="shared" si="19"/>
        <v>0</v>
      </c>
      <c r="AN23" s="201">
        <f t="shared" si="20"/>
        <v>0</v>
      </c>
    </row>
    <row r="24" spans="1:58" s="65" customFormat="1" x14ac:dyDescent="0.25">
      <c r="A24" s="18"/>
      <c r="B24" s="18"/>
      <c r="C24" s="18"/>
      <c r="D24" s="17"/>
      <c r="E24" s="17"/>
      <c r="F24" s="17">
        <f t="shared" si="1"/>
        <v>0</v>
      </c>
      <c r="G24" s="194"/>
      <c r="H24" s="17">
        <f t="shared" si="2"/>
        <v>0</v>
      </c>
      <c r="I24" s="195"/>
      <c r="J24" s="17"/>
      <c r="K24" s="195"/>
      <c r="L24" s="17"/>
      <c r="M24" s="189"/>
      <c r="N24" s="17"/>
      <c r="O24" s="194"/>
      <c r="P24" s="17">
        <f t="shared" si="3"/>
        <v>0</v>
      </c>
      <c r="Q24" s="17">
        <f t="shared" si="4"/>
        <v>0</v>
      </c>
      <c r="R24" s="194"/>
      <c r="S24" s="17">
        <f t="shared" si="5"/>
        <v>0</v>
      </c>
      <c r="T24" s="194"/>
      <c r="U24" s="17">
        <f t="shared" si="6"/>
        <v>0</v>
      </c>
      <c r="V24" s="17">
        <f t="shared" si="7"/>
        <v>0</v>
      </c>
      <c r="W24" s="17">
        <f t="shared" si="8"/>
        <v>0</v>
      </c>
      <c r="X24" s="17">
        <f t="shared" si="9"/>
        <v>0</v>
      </c>
      <c r="Y24" s="17">
        <f t="shared" si="10"/>
        <v>0</v>
      </c>
      <c r="Z24" s="17"/>
      <c r="AA24" s="17"/>
      <c r="AB24" s="17"/>
      <c r="AC24" s="201">
        <f t="shared" si="11"/>
        <v>0</v>
      </c>
      <c r="AD24" s="201">
        <f t="shared" si="12"/>
        <v>0</v>
      </c>
      <c r="AE24" s="201"/>
      <c r="AF24" s="201">
        <f t="shared" si="13"/>
        <v>0</v>
      </c>
      <c r="AG24" s="204">
        <f t="shared" si="14"/>
        <v>0</v>
      </c>
      <c r="AH24" s="201">
        <f t="shared" si="15"/>
        <v>0</v>
      </c>
      <c r="AI24" s="201">
        <f>(AH24+AD24)/12</f>
        <v>0</v>
      </c>
      <c r="AJ24" s="201"/>
      <c r="AK24" s="209">
        <f t="shared" si="17"/>
        <v>0</v>
      </c>
      <c r="AL24" s="201">
        <f t="shared" si="18"/>
        <v>0</v>
      </c>
      <c r="AM24" s="201">
        <f t="shared" si="19"/>
        <v>0</v>
      </c>
      <c r="AN24" s="201">
        <f t="shared" si="20"/>
        <v>0</v>
      </c>
    </row>
    <row r="25" spans="1:58" s="21" customFormat="1" ht="14.25" customHeight="1" x14ac:dyDescent="0.2">
      <c r="A25" s="291" t="s">
        <v>438</v>
      </c>
      <c r="B25" s="292"/>
      <c r="C25" s="292"/>
      <c r="D25" s="292"/>
      <c r="E25" s="292"/>
      <c r="F25" s="292"/>
      <c r="G25" s="292"/>
      <c r="H25" s="292"/>
      <c r="I25" s="292"/>
      <c r="J25" s="292"/>
      <c r="K25" s="292"/>
      <c r="L25" s="292"/>
      <c r="M25" s="292"/>
      <c r="N25" s="292"/>
      <c r="O25" s="292"/>
      <c r="P25" s="292"/>
      <c r="Q25" s="292"/>
      <c r="R25" s="292"/>
      <c r="S25" s="292"/>
      <c r="T25" s="292"/>
      <c r="U25" s="292"/>
      <c r="V25" s="292"/>
      <c r="W25" s="292"/>
      <c r="X25" s="108"/>
      <c r="Y25" s="20"/>
      <c r="Z25" s="108"/>
      <c r="AA25" s="20"/>
      <c r="AB25" s="20"/>
      <c r="AC25" s="109"/>
      <c r="AD25" s="108"/>
      <c r="AE25" s="20"/>
      <c r="AF25" s="106"/>
      <c r="AG25" s="20"/>
      <c r="AH25" s="110"/>
      <c r="AI25" s="111"/>
      <c r="AJ25" s="20"/>
      <c r="AK25" s="106"/>
      <c r="AL25" s="20"/>
      <c r="AM25" s="112"/>
      <c r="AN25" s="113"/>
      <c r="AO25" s="20"/>
      <c r="AP25" s="114"/>
      <c r="AQ25" s="20"/>
      <c r="AR25" s="112"/>
      <c r="AS25" s="102"/>
      <c r="AT25" s="20"/>
      <c r="AU25" s="20"/>
      <c r="AV25" s="20"/>
      <c r="AW25" s="20"/>
    </row>
    <row r="26" spans="1:58" s="21" customFormat="1" ht="14.25" customHeight="1" x14ac:dyDescent="0.2">
      <c r="A26" s="284" t="s">
        <v>439</v>
      </c>
      <c r="B26" s="284"/>
      <c r="C26" s="284"/>
      <c r="D26" s="284"/>
      <c r="E26" s="284"/>
      <c r="F26" s="284"/>
      <c r="G26" s="284"/>
      <c r="H26" s="284"/>
      <c r="I26" s="284"/>
      <c r="J26" s="284"/>
      <c r="K26" s="284"/>
      <c r="L26" s="284"/>
      <c r="M26" s="284"/>
      <c r="N26" s="284"/>
      <c r="O26" s="284"/>
      <c r="P26" s="284"/>
      <c r="Q26" s="284"/>
      <c r="R26" s="284"/>
      <c r="S26" s="284"/>
      <c r="T26" s="284"/>
      <c r="U26" s="284"/>
      <c r="V26" s="284"/>
      <c r="W26" s="284"/>
      <c r="X26" s="108"/>
      <c r="Y26" s="20"/>
      <c r="Z26" s="108"/>
      <c r="AA26" s="20"/>
      <c r="AB26" s="20"/>
      <c r="AC26" s="109"/>
      <c r="AD26" s="108"/>
      <c r="AE26" s="20"/>
      <c r="AF26" s="106"/>
      <c r="AG26" s="20"/>
      <c r="AH26" s="110"/>
      <c r="AI26" s="111"/>
      <c r="AJ26" s="20"/>
      <c r="AK26" s="106"/>
      <c r="AL26" s="20"/>
      <c r="AM26" s="112"/>
      <c r="AN26" s="113"/>
      <c r="AO26" s="20"/>
      <c r="AP26" s="114"/>
      <c r="AQ26" s="20"/>
      <c r="AR26" s="112"/>
      <c r="AS26" s="102"/>
      <c r="AT26" s="20"/>
      <c r="AU26" s="20"/>
      <c r="AV26" s="20"/>
      <c r="AW26" s="20"/>
    </row>
    <row r="27" spans="1:58" s="65" customFormat="1" ht="15.75" customHeight="1" x14ac:dyDescent="0.25">
      <c r="A27" s="351" t="s">
        <v>165</v>
      </c>
      <c r="B27" s="351"/>
      <c r="C27" s="48"/>
      <c r="D27" s="48"/>
      <c r="E27" s="48"/>
      <c r="F27" s="48"/>
      <c r="G27" s="48"/>
      <c r="H27" s="48"/>
      <c r="I27" s="48"/>
      <c r="J27" s="48"/>
      <c r="K27" s="48"/>
      <c r="L27" s="48"/>
      <c r="M27" s="48"/>
      <c r="N27" s="48"/>
      <c r="O27" s="48"/>
      <c r="P27" s="48"/>
      <c r="Q27" s="48"/>
      <c r="R27" s="48"/>
      <c r="S27" s="48"/>
      <c r="T27" s="48"/>
      <c r="U27" s="48"/>
      <c r="V27" s="49"/>
      <c r="W27" s="49"/>
      <c r="X27" s="49"/>
      <c r="Y27" s="49"/>
      <c r="Z27" s="49"/>
      <c r="AA27" s="20"/>
      <c r="AB27" s="20"/>
      <c r="AC27" s="20"/>
      <c r="AD27" s="20"/>
      <c r="AE27" s="20"/>
      <c r="AF27" s="20"/>
      <c r="AG27" s="114"/>
      <c r="AH27" s="20"/>
      <c r="AI27" s="20"/>
      <c r="AJ27" s="20"/>
      <c r="AK27" s="20"/>
      <c r="AL27" s="20"/>
      <c r="AM27" s="20"/>
      <c r="AN27" s="20"/>
      <c r="AO27" s="21"/>
      <c r="AP27" s="21"/>
      <c r="AQ27" s="21"/>
      <c r="AR27" s="19"/>
      <c r="AS27" s="20"/>
      <c r="AT27" s="20"/>
      <c r="AU27" s="102"/>
      <c r="AV27" s="102"/>
      <c r="AW27" s="102"/>
      <c r="AX27" s="21"/>
      <c r="AY27" s="37"/>
      <c r="AZ27" s="20"/>
      <c r="BA27" s="20"/>
      <c r="BB27" s="20"/>
      <c r="BC27" s="20"/>
    </row>
    <row r="28" spans="1:58" s="20" customFormat="1" ht="16.5" customHeight="1" x14ac:dyDescent="0.2">
      <c r="A28" s="285" t="s">
        <v>440</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94"/>
      <c r="Z28" s="94"/>
      <c r="AA28" s="94"/>
      <c r="AB28" s="94"/>
      <c r="AC28" s="94"/>
      <c r="AD28" s="94"/>
      <c r="AE28" s="94"/>
      <c r="AF28" s="94"/>
      <c r="AG28" s="19"/>
      <c r="AH28" s="19"/>
      <c r="AI28" s="19"/>
      <c r="AJ28" s="19"/>
      <c r="AK28" s="19"/>
      <c r="AL28" s="19"/>
      <c r="AM28" s="19"/>
      <c r="AQ28" s="38"/>
      <c r="AS28" s="22"/>
      <c r="AT28" s="23"/>
      <c r="AU28" s="23"/>
      <c r="AV28" s="23"/>
      <c r="AW28" s="23"/>
      <c r="AX28" s="19"/>
      <c r="AY28" s="19"/>
      <c r="AZ28" s="19"/>
      <c r="BA28" s="19"/>
      <c r="BB28" s="19"/>
      <c r="BC28" s="19"/>
      <c r="BD28" s="19"/>
      <c r="BE28" s="19"/>
      <c r="BF28" s="19"/>
    </row>
    <row r="29" spans="1:58" s="20" customFormat="1" ht="27.75" customHeight="1" x14ac:dyDescent="0.2">
      <c r="A29" s="286" t="s">
        <v>408</v>
      </c>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86"/>
      <c r="Z29" s="286"/>
      <c r="AA29" s="94"/>
      <c r="AB29" s="94"/>
      <c r="AC29" s="94"/>
      <c r="AD29" s="94"/>
      <c r="AE29" s="94"/>
      <c r="AF29" s="94"/>
      <c r="AG29" s="19"/>
      <c r="AH29" s="19"/>
      <c r="AI29" s="19"/>
      <c r="AJ29" s="19"/>
      <c r="AK29" s="19"/>
      <c r="AL29" s="19"/>
      <c r="AM29" s="19"/>
      <c r="AQ29" s="38"/>
      <c r="AS29" s="22"/>
      <c r="AT29" s="23"/>
      <c r="AU29" s="23"/>
      <c r="AV29" s="23"/>
      <c r="AW29" s="23"/>
      <c r="AX29" s="19"/>
      <c r="AY29" s="19"/>
      <c r="AZ29" s="19"/>
      <c r="BA29" s="19"/>
      <c r="BB29" s="19"/>
      <c r="BC29" s="19"/>
      <c r="BD29" s="19"/>
      <c r="BE29" s="19"/>
      <c r="BF29" s="19"/>
    </row>
    <row r="30" spans="1:58" s="21" customFormat="1" ht="27.75" customHeight="1" x14ac:dyDescent="0.2">
      <c r="A30" s="286" t="s">
        <v>401</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78"/>
      <c r="Z30" s="78"/>
      <c r="AA30" s="20"/>
      <c r="AB30" s="20"/>
      <c r="AC30" s="20"/>
      <c r="AD30" s="20"/>
      <c r="AE30" s="20"/>
      <c r="AG30" s="114"/>
    </row>
    <row r="31" spans="1:58" s="77" customFormat="1" ht="12.75" x14ac:dyDescent="0.2">
      <c r="A31" s="96"/>
      <c r="B31" s="96"/>
      <c r="C31" s="96"/>
      <c r="D31" s="96"/>
      <c r="E31" s="96"/>
      <c r="F31" s="96"/>
      <c r="G31" s="96"/>
      <c r="H31" s="96"/>
      <c r="I31" s="96"/>
      <c r="J31" s="96"/>
      <c r="K31" s="96"/>
      <c r="L31" s="96"/>
      <c r="M31" s="96"/>
      <c r="N31" s="96"/>
      <c r="O31" s="96"/>
      <c r="P31" s="96"/>
      <c r="Q31" s="96"/>
      <c r="R31" s="96"/>
      <c r="S31" s="96"/>
      <c r="T31" s="96"/>
      <c r="U31" s="96"/>
      <c r="V31" s="96"/>
      <c r="W31" s="96"/>
      <c r="X31" s="96"/>
      <c r="Y31" s="20"/>
      <c r="Z31" s="20"/>
      <c r="AA31" s="74"/>
      <c r="AB31" s="74"/>
      <c r="AC31" s="74"/>
      <c r="AD31" s="75"/>
      <c r="AE31" s="76"/>
      <c r="AG31" s="114"/>
    </row>
    <row r="32" spans="1:58" s="181" customFormat="1" ht="17.25" customHeight="1" x14ac:dyDescent="0.25">
      <c r="A32" s="298" t="s">
        <v>542</v>
      </c>
      <c r="B32" s="298"/>
      <c r="C32" s="298"/>
      <c r="D32" s="298"/>
      <c r="E32" s="298"/>
      <c r="F32" s="298"/>
      <c r="G32" s="304"/>
      <c r="H32" s="304"/>
      <c r="I32" s="304"/>
      <c r="J32" s="304"/>
      <c r="K32" s="180"/>
      <c r="L32" s="48"/>
      <c r="M32" s="48"/>
      <c r="N32" s="48"/>
      <c r="O32" s="299"/>
      <c r="P32" s="299"/>
      <c r="Q32" s="299"/>
      <c r="R32" s="179"/>
      <c r="S32" s="179"/>
      <c r="T32" s="179"/>
      <c r="U32" s="179"/>
      <c r="V32" s="179"/>
      <c r="W32" s="179"/>
      <c r="X32" s="179"/>
    </row>
    <row r="33" spans="1:26" s="181" customFormat="1" ht="16.899999999999999" customHeight="1" x14ac:dyDescent="0.25">
      <c r="A33" s="179"/>
      <c r="B33" s="179"/>
      <c r="C33" s="179"/>
      <c r="D33" s="179"/>
      <c r="E33" s="179"/>
      <c r="F33" s="179"/>
      <c r="G33" s="301" t="s">
        <v>538</v>
      </c>
      <c r="H33" s="301"/>
      <c r="I33" s="301"/>
      <c r="J33" s="301"/>
      <c r="K33" s="179"/>
      <c r="L33" s="179"/>
      <c r="M33" s="179"/>
      <c r="N33" s="179"/>
      <c r="O33" s="301" t="s">
        <v>539</v>
      </c>
      <c r="P33" s="301"/>
      <c r="Q33" s="301"/>
      <c r="R33" s="179"/>
      <c r="S33" s="179"/>
      <c r="T33" s="179"/>
      <c r="U33" s="179"/>
      <c r="V33" s="179"/>
      <c r="W33" s="179"/>
      <c r="X33" s="179"/>
    </row>
    <row r="34" spans="1:26" customFormat="1" ht="18.75" customHeight="1" x14ac:dyDescent="0.25">
      <c r="A34" s="298" t="s">
        <v>540</v>
      </c>
      <c r="B34" s="298"/>
      <c r="C34" s="298"/>
      <c r="D34" s="298"/>
      <c r="E34" s="298"/>
      <c r="F34" s="298"/>
      <c r="G34" s="299"/>
      <c r="H34" s="299"/>
      <c r="I34" s="299"/>
      <c r="J34" s="299"/>
      <c r="K34" s="182"/>
      <c r="L34" s="299"/>
      <c r="M34" s="299"/>
      <c r="N34" s="299"/>
      <c r="O34" s="299"/>
      <c r="P34" s="183"/>
      <c r="Q34" s="300"/>
      <c r="R34" s="300"/>
      <c r="S34" s="300"/>
      <c r="T34" s="300"/>
      <c r="U34" s="178"/>
      <c r="V34" s="178"/>
      <c r="W34" s="178"/>
      <c r="X34" s="178"/>
      <c r="Y34" s="178"/>
      <c r="Z34" s="178"/>
    </row>
    <row r="35" spans="1:26" customFormat="1" ht="15" customHeight="1" x14ac:dyDescent="0.25">
      <c r="A35" s="184"/>
      <c r="B35" s="184"/>
      <c r="C35" s="184"/>
      <c r="D35" s="184"/>
      <c r="E35" s="78"/>
      <c r="F35" s="78"/>
      <c r="G35" s="301" t="s">
        <v>538</v>
      </c>
      <c r="H35" s="301"/>
      <c r="I35" s="301"/>
      <c r="J35" s="301"/>
      <c r="K35" s="185"/>
      <c r="L35" s="302" t="s">
        <v>304</v>
      </c>
      <c r="M35" s="302"/>
      <c r="N35" s="302"/>
      <c r="O35" s="302"/>
      <c r="P35" s="138"/>
      <c r="Q35" s="303" t="s">
        <v>541</v>
      </c>
      <c r="R35" s="303"/>
      <c r="S35" s="303"/>
      <c r="T35" s="303"/>
      <c r="U35" s="178"/>
      <c r="V35" s="178"/>
      <c r="W35" s="178"/>
      <c r="X35" s="178"/>
      <c r="Y35" s="178"/>
      <c r="Z35" s="178"/>
    </row>
    <row r="38" spans="1:26" x14ac:dyDescent="0.25">
      <c r="A38" s="186"/>
      <c r="B38" s="186"/>
      <c r="C38" s="186"/>
      <c r="D38" s="186"/>
      <c r="E38" s="186"/>
      <c r="F38" s="186"/>
    </row>
    <row r="40" spans="1:26" x14ac:dyDescent="0.25">
      <c r="A40" s="186"/>
      <c r="B40" s="186"/>
      <c r="C40" s="186"/>
      <c r="D40" s="186"/>
      <c r="E40" s="186"/>
      <c r="F40" s="186"/>
    </row>
  </sheetData>
  <mergeCells count="56">
    <mergeCell ref="G35:J35"/>
    <mergeCell ref="L35:O35"/>
    <mergeCell ref="Q35:T35"/>
    <mergeCell ref="A34:F34"/>
    <mergeCell ref="G34:J34"/>
    <mergeCell ref="L34:O34"/>
    <mergeCell ref="Q34:T34"/>
    <mergeCell ref="AM7:AM12"/>
    <mergeCell ref="AN7:AN12"/>
    <mergeCell ref="AH7:AH12"/>
    <mergeCell ref="AK7:AK12"/>
    <mergeCell ref="AL7:AL12"/>
    <mergeCell ref="AI7:AI12"/>
    <mergeCell ref="AJ7:AJ12"/>
    <mergeCell ref="AE8:AF11"/>
    <mergeCell ref="AG8:AG12"/>
    <mergeCell ref="AA7:AB11"/>
    <mergeCell ref="AC7:AC12"/>
    <mergeCell ref="AD7:AD12"/>
    <mergeCell ref="AE7:AG7"/>
    <mergeCell ref="X7:X12"/>
    <mergeCell ref="Y7:Y12"/>
    <mergeCell ref="Z7:Z12"/>
    <mergeCell ref="C1:V1"/>
    <mergeCell ref="E10:E12"/>
    <mergeCell ref="F10:F12"/>
    <mergeCell ref="T7:U11"/>
    <mergeCell ref="Q7:Q12"/>
    <mergeCell ref="G7:H11"/>
    <mergeCell ref="I7:J11"/>
    <mergeCell ref="K7:L11"/>
    <mergeCell ref="M7:N11"/>
    <mergeCell ref="O7:P11"/>
    <mergeCell ref="C7:C12"/>
    <mergeCell ref="D7:D12"/>
    <mergeCell ref="E7:F9"/>
    <mergeCell ref="A25:W25"/>
    <mergeCell ref="A26:W26"/>
    <mergeCell ref="A27:B27"/>
    <mergeCell ref="A28:X28"/>
    <mergeCell ref="A29:Z29"/>
    <mergeCell ref="A30:X30"/>
    <mergeCell ref="A32:F32"/>
    <mergeCell ref="G32:J32"/>
    <mergeCell ref="O32:Q32"/>
    <mergeCell ref="G33:J33"/>
    <mergeCell ref="O33:Q33"/>
    <mergeCell ref="W7:W12"/>
    <mergeCell ref="E4:I4"/>
    <mergeCell ref="K4:K5"/>
    <mergeCell ref="E5:I5"/>
    <mergeCell ref="A7:A12"/>
    <mergeCell ref="B7:B12"/>
    <mergeCell ref="V7:V12"/>
    <mergeCell ref="R7:S11"/>
    <mergeCell ref="B4:C5"/>
  </mergeCells>
  <dataValidations count="1">
    <dataValidation type="custom" allowBlank="1" showInputMessage="1" showErrorMessage="1" sqref="AJ24">
      <formula1>"&lt;=(F15+H15)*12"</formula1>
    </dataValidation>
  </dataValidations>
  <printOptions horizontalCentered="1"/>
  <pageMargins left="0.31496062992126" right="0.31496062992126" top="0.66929133858267698" bottom="0.66929133858267698" header="0.31496062992126" footer="0.31496062992126"/>
  <pageSetup paperSize="8" scale="71" fitToWidth="2" fitToHeight="80" orientation="landscape" r:id="rId1"/>
  <headerFooter>
    <oddHeader>&amp;R&amp;10Tabel nr.6</oddHeader>
    <oddFooter>&amp;R&amp;"-,полужирный"&amp;8&amp;P</oddFooter>
  </headerFooter>
  <colBreaks count="1" manualBreakCount="1">
    <brk id="29" max="3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F35"/>
  <sheetViews>
    <sheetView showZeros="0" view="pageBreakPreview" zoomScale="70" zoomScaleNormal="71" zoomScaleSheetLayoutView="70" workbookViewId="0">
      <pane xSplit="2" ySplit="13" topLeftCell="C14" activePane="bottomRight" state="frozen"/>
      <selection pane="topRight" activeCell="C1" sqref="C1"/>
      <selection pane="bottomLeft" activeCell="A14" sqref="A14"/>
      <selection pane="bottomRight" activeCell="H16" sqref="H16"/>
    </sheetView>
  </sheetViews>
  <sheetFormatPr defaultColWidth="8.85546875" defaultRowHeight="12.75" x14ac:dyDescent="0.2"/>
  <cols>
    <col min="1" max="1" width="6" style="21" customWidth="1"/>
    <col min="2" max="2" width="18" style="21" customWidth="1"/>
    <col min="3" max="3" width="11.5703125" style="21" customWidth="1"/>
    <col min="4" max="4" width="5.5703125" style="21" customWidth="1"/>
    <col min="5" max="5" width="6" style="21" customWidth="1"/>
    <col min="6" max="7" width="5.5703125" style="21" customWidth="1"/>
    <col min="8" max="8" width="7.42578125" style="21" customWidth="1"/>
    <col min="9" max="9" width="9.5703125" style="21" customWidth="1"/>
    <col min="10" max="10" width="4.7109375" style="21" customWidth="1"/>
    <col min="11" max="11" width="7.7109375" style="21" customWidth="1"/>
    <col min="12" max="12" width="8.85546875" style="21"/>
    <col min="13" max="13" width="5.7109375" style="21" customWidth="1"/>
    <col min="14" max="14" width="7.42578125" style="21" customWidth="1"/>
    <col min="15" max="15" width="8.5703125" style="21" customWidth="1"/>
    <col min="16" max="16" width="8.140625" style="21" customWidth="1"/>
    <col min="17" max="17" width="7.7109375" style="21" customWidth="1"/>
    <col min="18" max="18" width="7.85546875" style="21" customWidth="1"/>
    <col min="19" max="19" width="12.7109375" style="21" customWidth="1"/>
    <col min="20" max="20" width="7.140625" style="21" customWidth="1"/>
    <col min="21" max="21" width="6.85546875" style="21" customWidth="1"/>
    <col min="22" max="22" width="7.28515625" style="21" customWidth="1"/>
    <col min="23" max="23" width="10.7109375" style="21" customWidth="1"/>
    <col min="24" max="24" width="5.85546875" style="21" customWidth="1"/>
    <col min="25" max="25" width="6.7109375" style="21" customWidth="1"/>
    <col min="26" max="26" width="7.5703125" style="21" customWidth="1"/>
    <col min="27" max="27" width="8.85546875" style="21" customWidth="1"/>
    <col min="28" max="28" width="6.42578125" style="21" customWidth="1"/>
    <col min="29" max="29" width="11.85546875" style="21" customWidth="1"/>
    <col min="30" max="30" width="5.7109375" style="21" customWidth="1"/>
    <col min="31" max="31" width="8.7109375" style="21" customWidth="1"/>
    <col min="32" max="32" width="14.85546875" style="21" customWidth="1"/>
    <col min="33" max="33" width="11.28515625" style="21" customWidth="1"/>
    <col min="34" max="34" width="7.42578125" style="21" customWidth="1"/>
    <col min="35" max="35" width="9.5703125" style="21" customWidth="1"/>
    <col min="36" max="36" width="6.28515625" style="21" customWidth="1"/>
    <col min="37" max="37" width="7.5703125" style="21" customWidth="1"/>
    <col min="38" max="38" width="12.28515625" style="21" customWidth="1"/>
    <col min="39" max="39" width="12.5703125" style="21" customWidth="1"/>
    <col min="40" max="40" width="8.42578125" style="21" customWidth="1"/>
    <col min="41" max="41" width="12.7109375" style="21" customWidth="1"/>
    <col min="42" max="42" width="8.5703125" style="21" customWidth="1"/>
    <col min="43" max="44" width="13" style="21" customWidth="1"/>
    <col min="45" max="45" width="11.28515625" style="21" customWidth="1"/>
    <col min="46" max="46" width="10.42578125" style="21" customWidth="1"/>
    <col min="47" max="47" width="10" style="21" customWidth="1"/>
    <col min="48" max="48" width="10.85546875" style="21" customWidth="1"/>
    <col min="49" max="16384" width="8.85546875" style="21"/>
  </cols>
  <sheetData>
    <row r="1" spans="1:58" s="25" customFormat="1" ht="39.75" customHeight="1" x14ac:dyDescent="0.25">
      <c r="B1" s="26"/>
      <c r="C1" s="26"/>
      <c r="D1" s="355" t="s">
        <v>419</v>
      </c>
      <c r="E1" s="356"/>
      <c r="F1" s="356"/>
      <c r="G1" s="356"/>
      <c r="H1" s="356"/>
      <c r="I1" s="356"/>
      <c r="J1" s="356"/>
      <c r="K1" s="356"/>
      <c r="L1" s="356"/>
      <c r="M1" s="356"/>
      <c r="N1" s="356"/>
      <c r="O1" s="356"/>
      <c r="P1" s="356"/>
      <c r="Q1" s="356"/>
      <c r="R1" s="356"/>
      <c r="S1" s="356"/>
      <c r="T1" s="356"/>
      <c r="U1" s="356"/>
      <c r="V1" s="356"/>
      <c r="W1" s="356"/>
      <c r="X1" s="356"/>
      <c r="Y1" s="356"/>
      <c r="Z1" s="42"/>
      <c r="AA1" s="42"/>
      <c r="AB1" s="42"/>
      <c r="AC1" s="42"/>
      <c r="AD1" s="42"/>
      <c r="AE1" s="42"/>
      <c r="AF1" s="42"/>
      <c r="AG1" s="42"/>
      <c r="AH1" s="42"/>
      <c r="AI1" s="42"/>
      <c r="AJ1" s="42"/>
      <c r="AK1" s="42"/>
      <c r="AL1" s="42"/>
      <c r="AM1" s="42"/>
      <c r="AN1" s="42"/>
      <c r="AO1" s="42"/>
      <c r="AP1" s="42"/>
      <c r="AQ1" s="42"/>
      <c r="AR1" s="42"/>
      <c r="AS1" s="42"/>
      <c r="AT1" s="42"/>
      <c r="AU1" s="42"/>
      <c r="AV1" s="42"/>
      <c r="AW1" s="26"/>
      <c r="AX1" s="26"/>
      <c r="AY1" s="26"/>
      <c r="AZ1" s="26"/>
      <c r="BA1" s="26"/>
      <c r="BB1" s="26"/>
      <c r="BC1" s="26"/>
      <c r="BD1" s="26"/>
      <c r="BE1" s="26"/>
    </row>
    <row r="2" spans="1:58" ht="15" customHeight="1" x14ac:dyDescent="0.2">
      <c r="B2" s="44"/>
      <c r="D2" s="357" t="s">
        <v>132</v>
      </c>
      <c r="E2" s="357"/>
      <c r="F2" s="357"/>
      <c r="G2" s="357"/>
      <c r="H2" s="357"/>
      <c r="I2" s="357"/>
      <c r="J2" s="357"/>
      <c r="K2" s="357"/>
      <c r="L2" s="357"/>
      <c r="M2" s="357"/>
      <c r="N2" s="357"/>
      <c r="O2" s="357"/>
      <c r="P2" s="357"/>
      <c r="Q2" s="357"/>
      <c r="R2" s="357"/>
      <c r="S2" s="357"/>
      <c r="T2" s="357"/>
      <c r="U2" s="357"/>
      <c r="V2" s="357"/>
      <c r="W2" s="357"/>
      <c r="X2" s="357"/>
      <c r="Y2" s="357"/>
      <c r="Z2" s="54"/>
      <c r="AA2" s="54"/>
      <c r="AB2" s="54"/>
      <c r="AC2" s="54"/>
      <c r="AD2" s="54"/>
      <c r="AE2" s="54"/>
      <c r="AF2" s="54"/>
      <c r="AG2" s="54"/>
      <c r="AH2" s="54"/>
      <c r="AI2" s="54"/>
      <c r="AJ2" s="54"/>
      <c r="AK2" s="55"/>
      <c r="AL2" s="55"/>
      <c r="AM2" s="55"/>
      <c r="AN2" s="55"/>
      <c r="AO2" s="55"/>
      <c r="AP2" s="20"/>
      <c r="AQ2" s="20"/>
      <c r="AR2" s="20"/>
      <c r="AS2" s="20"/>
      <c r="AT2" s="20"/>
      <c r="AU2" s="20"/>
      <c r="AV2" s="20"/>
      <c r="AW2" s="20"/>
      <c r="AX2" s="20"/>
      <c r="AY2" s="20"/>
      <c r="AZ2" s="20"/>
      <c r="BA2" s="20"/>
      <c r="BB2" s="20"/>
      <c r="BC2" s="20"/>
      <c r="BD2" s="20"/>
      <c r="BE2" s="20"/>
      <c r="BF2" s="20"/>
    </row>
    <row r="3" spans="1:58" x14ac:dyDescent="0.2">
      <c r="B3" s="44"/>
      <c r="E3" s="53"/>
      <c r="F3" s="58"/>
      <c r="H3" s="53"/>
      <c r="I3" s="53"/>
      <c r="J3" s="53"/>
      <c r="K3" s="53"/>
      <c r="L3" s="53"/>
      <c r="M3" s="53"/>
      <c r="N3" s="53"/>
      <c r="O3" s="53"/>
      <c r="P3" s="53"/>
      <c r="Q3" s="53"/>
      <c r="R3" s="53"/>
      <c r="S3" s="53"/>
      <c r="T3" s="53"/>
      <c r="U3" s="51"/>
      <c r="V3" s="51"/>
      <c r="W3" s="51"/>
      <c r="X3" s="51"/>
      <c r="Y3" s="51"/>
      <c r="Z3" s="54"/>
      <c r="AA3" s="54"/>
      <c r="AB3" s="54"/>
      <c r="AC3" s="54"/>
      <c r="AD3" s="54"/>
      <c r="AE3" s="54"/>
      <c r="AF3" s="54"/>
      <c r="AG3" s="54"/>
      <c r="AH3" s="54"/>
      <c r="AI3" s="54"/>
      <c r="AJ3" s="54"/>
      <c r="AK3" s="55"/>
      <c r="AL3" s="55"/>
      <c r="AM3" s="55"/>
      <c r="AN3" s="55"/>
      <c r="AO3" s="55"/>
      <c r="AP3" s="20"/>
      <c r="AQ3" s="20"/>
      <c r="AR3" s="20"/>
      <c r="AS3" s="20"/>
      <c r="AT3" s="20"/>
      <c r="AU3" s="20"/>
      <c r="AV3" s="20"/>
      <c r="AW3" s="20"/>
      <c r="AX3" s="20"/>
      <c r="AY3" s="20"/>
      <c r="AZ3" s="20"/>
      <c r="BA3" s="20"/>
      <c r="BB3" s="20"/>
      <c r="BC3" s="20"/>
      <c r="BD3" s="20"/>
      <c r="BE3" s="20"/>
      <c r="BF3" s="20"/>
    </row>
    <row r="4" spans="1:58" x14ac:dyDescent="0.2">
      <c r="B4" s="353" t="s">
        <v>307</v>
      </c>
      <c r="C4" s="353"/>
      <c r="D4" s="79"/>
      <c r="E4" s="289" t="s">
        <v>308</v>
      </c>
      <c r="F4" s="289"/>
      <c r="G4" s="289"/>
      <c r="H4" s="289"/>
      <c r="I4" s="289"/>
      <c r="J4" s="75"/>
      <c r="K4" s="296" t="s">
        <v>164</v>
      </c>
      <c r="L4" s="80" t="s">
        <v>309</v>
      </c>
      <c r="M4" s="80" t="s">
        <v>310</v>
      </c>
      <c r="N4" s="80" t="s">
        <v>311</v>
      </c>
      <c r="O4" s="80" t="s">
        <v>312</v>
      </c>
      <c r="P4" s="80" t="s">
        <v>313</v>
      </c>
      <c r="Q4" s="53"/>
      <c r="R4" s="53"/>
      <c r="S4" s="53"/>
      <c r="T4" s="53"/>
      <c r="U4" s="51"/>
      <c r="V4" s="51"/>
      <c r="W4" s="51"/>
      <c r="X4" s="51"/>
      <c r="Y4" s="51"/>
      <c r="Z4" s="54"/>
      <c r="AA4" s="54"/>
      <c r="AB4" s="54"/>
      <c r="AC4" s="54"/>
      <c r="AD4" s="54"/>
      <c r="AE4" s="54"/>
      <c r="AF4" s="54"/>
      <c r="AG4" s="54"/>
      <c r="AH4" s="54"/>
      <c r="AI4" s="54"/>
      <c r="AJ4" s="54"/>
      <c r="AK4" s="55"/>
      <c r="AL4" s="55"/>
      <c r="AM4" s="55"/>
      <c r="AN4" s="55"/>
      <c r="AO4" s="55"/>
      <c r="AP4" s="20"/>
      <c r="AQ4" s="20"/>
      <c r="AR4" s="20"/>
      <c r="AS4" s="20"/>
      <c r="AT4" s="20"/>
      <c r="AU4" s="20"/>
      <c r="AV4" s="20"/>
      <c r="AW4" s="20"/>
      <c r="AX4" s="20"/>
      <c r="AY4" s="20"/>
      <c r="AZ4" s="20"/>
      <c r="BA4" s="20"/>
      <c r="BB4" s="20"/>
      <c r="BC4" s="20"/>
      <c r="BD4" s="20"/>
      <c r="BE4" s="20"/>
      <c r="BF4" s="20"/>
    </row>
    <row r="5" spans="1:58" x14ac:dyDescent="0.2">
      <c r="B5" s="353"/>
      <c r="C5" s="353"/>
      <c r="D5" s="32"/>
      <c r="E5" s="290" t="s">
        <v>314</v>
      </c>
      <c r="F5" s="290"/>
      <c r="G5" s="290"/>
      <c r="H5" s="290"/>
      <c r="I5" s="290"/>
      <c r="J5" s="32"/>
      <c r="K5" s="296"/>
      <c r="L5" s="81"/>
      <c r="M5" s="81"/>
      <c r="N5" s="81"/>
      <c r="O5" s="81"/>
      <c r="P5" s="81"/>
      <c r="R5" s="29"/>
      <c r="V5" s="29"/>
      <c r="W5" s="30"/>
      <c r="Z5" s="20"/>
      <c r="AA5" s="20"/>
      <c r="AB5" s="20"/>
      <c r="AC5" s="19"/>
      <c r="AD5" s="19"/>
      <c r="AE5" s="19"/>
      <c r="AF5" s="19"/>
      <c r="AG5" s="20"/>
      <c r="AH5" s="19"/>
      <c r="AI5" s="19"/>
      <c r="AJ5" s="19"/>
      <c r="AK5" s="19"/>
      <c r="AL5" s="19"/>
      <c r="AM5" s="20"/>
      <c r="AN5" s="20"/>
      <c r="AO5" s="20"/>
      <c r="AP5" s="19"/>
      <c r="AQ5" s="19"/>
      <c r="AR5" s="19"/>
      <c r="AS5" s="20"/>
      <c r="AT5" s="19"/>
      <c r="AU5" s="100"/>
      <c r="AV5" s="20"/>
    </row>
    <row r="6" spans="1:58" x14ac:dyDescent="0.2">
      <c r="A6" s="32"/>
      <c r="B6" s="32"/>
      <c r="C6" s="32"/>
      <c r="D6" s="32"/>
      <c r="E6" s="32"/>
      <c r="F6" s="32"/>
      <c r="G6" s="32"/>
      <c r="H6" s="32"/>
      <c r="I6" s="354"/>
      <c r="J6" s="354"/>
      <c r="K6" s="354"/>
      <c r="L6" s="354"/>
      <c r="M6" s="354"/>
      <c r="N6" s="354"/>
      <c r="O6" s="354"/>
      <c r="P6" s="354"/>
      <c r="Q6" s="354"/>
      <c r="R6" s="354"/>
      <c r="S6" s="354"/>
      <c r="T6" s="354"/>
      <c r="U6" s="354"/>
      <c r="V6" s="354"/>
      <c r="W6" s="34"/>
      <c r="X6" s="34"/>
      <c r="Y6" s="34"/>
      <c r="Z6" s="32"/>
      <c r="AA6" s="32"/>
      <c r="AB6" s="32"/>
      <c r="AC6" s="32"/>
      <c r="AD6" s="32"/>
      <c r="AE6" s="32"/>
      <c r="AF6" s="32"/>
      <c r="AG6" s="34"/>
      <c r="AH6" s="34"/>
      <c r="AI6" s="34"/>
      <c r="AJ6" s="32"/>
      <c r="AK6" s="32"/>
      <c r="AM6" s="32"/>
      <c r="AN6" s="32"/>
      <c r="AO6" s="32"/>
      <c r="AP6" s="32"/>
      <c r="AQ6" s="32"/>
      <c r="AR6" s="32"/>
      <c r="AS6" s="32"/>
      <c r="AT6" s="32"/>
      <c r="AU6" s="32"/>
      <c r="AV6" s="32"/>
    </row>
    <row r="7" spans="1:58" ht="72.599999999999994" customHeight="1" x14ac:dyDescent="0.2">
      <c r="A7" s="293" t="s">
        <v>2</v>
      </c>
      <c r="B7" s="293" t="s">
        <v>87</v>
      </c>
      <c r="C7" s="293" t="s">
        <v>170</v>
      </c>
      <c r="D7" s="305" t="s">
        <v>0</v>
      </c>
      <c r="E7" s="305" t="s">
        <v>3</v>
      </c>
      <c r="F7" s="305" t="s">
        <v>4</v>
      </c>
      <c r="G7" s="305" t="s">
        <v>6</v>
      </c>
      <c r="H7" s="293" t="s">
        <v>533</v>
      </c>
      <c r="I7" s="293"/>
      <c r="J7" s="293" t="s">
        <v>516</v>
      </c>
      <c r="K7" s="293"/>
      <c r="L7" s="293" t="s">
        <v>173</v>
      </c>
      <c r="M7" s="293" t="s">
        <v>174</v>
      </c>
      <c r="N7" s="293"/>
      <c r="O7" s="293" t="s">
        <v>176</v>
      </c>
      <c r="P7" s="293"/>
      <c r="Q7" s="293" t="s">
        <v>517</v>
      </c>
      <c r="R7" s="293"/>
      <c r="S7" s="309" t="s">
        <v>195</v>
      </c>
      <c r="T7" s="310"/>
      <c r="U7" s="293" t="s">
        <v>179</v>
      </c>
      <c r="V7" s="293"/>
      <c r="W7" s="293" t="s">
        <v>180</v>
      </c>
      <c r="X7" s="293" t="s">
        <v>202</v>
      </c>
      <c r="Y7" s="293"/>
      <c r="Z7" s="321" t="s">
        <v>277</v>
      </c>
      <c r="AA7" s="321"/>
      <c r="AB7" s="293" t="s">
        <v>275</v>
      </c>
      <c r="AC7" s="293"/>
      <c r="AD7" s="341" t="s">
        <v>274</v>
      </c>
      <c r="AE7" s="334"/>
      <c r="AF7" s="293" t="s">
        <v>420</v>
      </c>
      <c r="AG7" s="293" t="s">
        <v>203</v>
      </c>
      <c r="AH7" s="293" t="s">
        <v>276</v>
      </c>
      <c r="AI7" s="293"/>
      <c r="AJ7" s="293" t="s">
        <v>315</v>
      </c>
      <c r="AK7" s="293"/>
      <c r="AL7" s="293" t="s">
        <v>184</v>
      </c>
      <c r="AM7" s="293" t="s">
        <v>204</v>
      </c>
      <c r="AN7" s="293" t="s">
        <v>518</v>
      </c>
      <c r="AO7" s="293"/>
      <c r="AP7" s="293" t="s">
        <v>187</v>
      </c>
      <c r="AQ7" s="317" t="s">
        <v>250</v>
      </c>
      <c r="AR7" s="317" t="s">
        <v>377</v>
      </c>
      <c r="AS7" s="293" t="s">
        <v>188</v>
      </c>
      <c r="AT7" s="320" t="s">
        <v>166</v>
      </c>
      <c r="AU7" s="320" t="s">
        <v>167</v>
      </c>
      <c r="AV7" s="293" t="s">
        <v>332</v>
      </c>
    </row>
    <row r="8" spans="1:58" ht="21.6" customHeight="1" x14ac:dyDescent="0.2">
      <c r="A8" s="293"/>
      <c r="B8" s="293"/>
      <c r="C8" s="293"/>
      <c r="D8" s="305"/>
      <c r="E8" s="305"/>
      <c r="F8" s="305"/>
      <c r="G8" s="305"/>
      <c r="H8" s="293"/>
      <c r="I8" s="293"/>
      <c r="J8" s="293"/>
      <c r="K8" s="293"/>
      <c r="L8" s="293"/>
      <c r="M8" s="293"/>
      <c r="N8" s="293"/>
      <c r="O8" s="293"/>
      <c r="P8" s="293"/>
      <c r="Q8" s="293"/>
      <c r="R8" s="293"/>
      <c r="S8" s="311"/>
      <c r="T8" s="312"/>
      <c r="U8" s="293"/>
      <c r="V8" s="293"/>
      <c r="W8" s="293"/>
      <c r="X8" s="293"/>
      <c r="Y8" s="293"/>
      <c r="Z8" s="321"/>
      <c r="AA8" s="321"/>
      <c r="AB8" s="293"/>
      <c r="AC8" s="293"/>
      <c r="AD8" s="342"/>
      <c r="AE8" s="335"/>
      <c r="AF8" s="293"/>
      <c r="AG8" s="293"/>
      <c r="AH8" s="293"/>
      <c r="AI8" s="293"/>
      <c r="AJ8" s="293"/>
      <c r="AK8" s="293"/>
      <c r="AL8" s="293"/>
      <c r="AM8" s="293"/>
      <c r="AN8" s="293" t="s">
        <v>15</v>
      </c>
      <c r="AO8" s="320" t="s">
        <v>306</v>
      </c>
      <c r="AP8" s="293"/>
      <c r="AQ8" s="319"/>
      <c r="AR8" s="319"/>
      <c r="AS8" s="293"/>
      <c r="AT8" s="320"/>
      <c r="AU8" s="320"/>
      <c r="AV8" s="293"/>
    </row>
    <row r="9" spans="1:58" ht="25.15" customHeight="1" x14ac:dyDescent="0.2">
      <c r="A9" s="293"/>
      <c r="B9" s="293"/>
      <c r="C9" s="293"/>
      <c r="D9" s="305"/>
      <c r="E9" s="305"/>
      <c r="F9" s="305"/>
      <c r="G9" s="305"/>
      <c r="H9" s="293"/>
      <c r="I9" s="293"/>
      <c r="J9" s="293"/>
      <c r="K9" s="293"/>
      <c r="L9" s="293"/>
      <c r="M9" s="293"/>
      <c r="N9" s="293"/>
      <c r="O9" s="293"/>
      <c r="P9" s="293"/>
      <c r="Q9" s="293"/>
      <c r="R9" s="293"/>
      <c r="S9" s="311"/>
      <c r="T9" s="312"/>
      <c r="U9" s="293"/>
      <c r="V9" s="293"/>
      <c r="W9" s="293"/>
      <c r="X9" s="293"/>
      <c r="Y9" s="293"/>
      <c r="Z9" s="321"/>
      <c r="AA9" s="321"/>
      <c r="AB9" s="293"/>
      <c r="AC9" s="293"/>
      <c r="AD9" s="342"/>
      <c r="AE9" s="335"/>
      <c r="AF9" s="293"/>
      <c r="AG9" s="293"/>
      <c r="AH9" s="293"/>
      <c r="AI9" s="293"/>
      <c r="AJ9" s="293"/>
      <c r="AK9" s="293"/>
      <c r="AL9" s="293"/>
      <c r="AM9" s="293"/>
      <c r="AN9" s="293"/>
      <c r="AO9" s="320"/>
      <c r="AP9" s="293"/>
      <c r="AQ9" s="319"/>
      <c r="AR9" s="319"/>
      <c r="AS9" s="293"/>
      <c r="AT9" s="320"/>
      <c r="AU9" s="320"/>
      <c r="AV9" s="293"/>
    </row>
    <row r="10" spans="1:58" ht="33.75" customHeight="1" x14ac:dyDescent="0.2">
      <c r="A10" s="293"/>
      <c r="B10" s="293"/>
      <c r="C10" s="293"/>
      <c r="D10" s="305"/>
      <c r="E10" s="305"/>
      <c r="F10" s="305"/>
      <c r="G10" s="305"/>
      <c r="H10" s="293" t="s">
        <v>421</v>
      </c>
      <c r="I10" s="293" t="s">
        <v>5</v>
      </c>
      <c r="J10" s="293"/>
      <c r="K10" s="293"/>
      <c r="L10" s="293"/>
      <c r="M10" s="293"/>
      <c r="N10" s="293"/>
      <c r="O10" s="293"/>
      <c r="P10" s="293"/>
      <c r="Q10" s="293"/>
      <c r="R10" s="293"/>
      <c r="S10" s="313"/>
      <c r="T10" s="314"/>
      <c r="U10" s="293"/>
      <c r="V10" s="293"/>
      <c r="W10" s="293"/>
      <c r="X10" s="293"/>
      <c r="Y10" s="293"/>
      <c r="Z10" s="321"/>
      <c r="AA10" s="321"/>
      <c r="AB10" s="293"/>
      <c r="AC10" s="293"/>
      <c r="AD10" s="342"/>
      <c r="AE10" s="335"/>
      <c r="AF10" s="293"/>
      <c r="AG10" s="293"/>
      <c r="AH10" s="293"/>
      <c r="AI10" s="293"/>
      <c r="AJ10" s="293"/>
      <c r="AK10" s="293"/>
      <c r="AL10" s="293"/>
      <c r="AM10" s="293"/>
      <c r="AN10" s="293"/>
      <c r="AO10" s="320"/>
      <c r="AP10" s="293"/>
      <c r="AQ10" s="319"/>
      <c r="AR10" s="319"/>
      <c r="AS10" s="293"/>
      <c r="AT10" s="320"/>
      <c r="AU10" s="320"/>
      <c r="AV10" s="293"/>
    </row>
    <row r="11" spans="1:58" ht="22.5" customHeight="1" x14ac:dyDescent="0.2">
      <c r="A11" s="293"/>
      <c r="B11" s="293"/>
      <c r="C11" s="293"/>
      <c r="D11" s="305"/>
      <c r="E11" s="305"/>
      <c r="F11" s="305"/>
      <c r="G11" s="305"/>
      <c r="H11" s="293"/>
      <c r="I11" s="293"/>
      <c r="J11" s="293"/>
      <c r="K11" s="293"/>
      <c r="L11" s="293"/>
      <c r="M11" s="293"/>
      <c r="N11" s="293"/>
      <c r="O11" s="293"/>
      <c r="P11" s="293"/>
      <c r="Q11" s="293"/>
      <c r="R11" s="293"/>
      <c r="S11" s="315" t="s">
        <v>10</v>
      </c>
      <c r="T11" s="317" t="s">
        <v>142</v>
      </c>
      <c r="U11" s="293"/>
      <c r="V11" s="293"/>
      <c r="W11" s="293"/>
      <c r="X11" s="293"/>
      <c r="Y11" s="293"/>
      <c r="Z11" s="321"/>
      <c r="AA11" s="321"/>
      <c r="AB11" s="293"/>
      <c r="AC11" s="293"/>
      <c r="AD11" s="343"/>
      <c r="AE11" s="336"/>
      <c r="AF11" s="293"/>
      <c r="AG11" s="293"/>
      <c r="AH11" s="293"/>
      <c r="AI11" s="293"/>
      <c r="AJ11" s="293"/>
      <c r="AK11" s="293"/>
      <c r="AL11" s="293"/>
      <c r="AM11" s="293"/>
      <c r="AN11" s="293"/>
      <c r="AO11" s="320"/>
      <c r="AP11" s="293"/>
      <c r="AQ11" s="319"/>
      <c r="AR11" s="319"/>
      <c r="AS11" s="293"/>
      <c r="AT11" s="320"/>
      <c r="AU11" s="320"/>
      <c r="AV11" s="293"/>
    </row>
    <row r="12" spans="1:58" ht="36" customHeight="1" x14ac:dyDescent="0.2">
      <c r="A12" s="293"/>
      <c r="B12" s="293"/>
      <c r="C12" s="293"/>
      <c r="D12" s="305"/>
      <c r="E12" s="305"/>
      <c r="F12" s="305"/>
      <c r="G12" s="305"/>
      <c r="H12" s="293"/>
      <c r="I12" s="293"/>
      <c r="J12" s="117" t="s">
        <v>1</v>
      </c>
      <c r="K12" s="117" t="s">
        <v>142</v>
      </c>
      <c r="L12" s="293"/>
      <c r="M12" s="117" t="s">
        <v>1</v>
      </c>
      <c r="N12" s="117" t="s">
        <v>142</v>
      </c>
      <c r="O12" s="117" t="s">
        <v>7</v>
      </c>
      <c r="P12" s="117" t="s">
        <v>142</v>
      </c>
      <c r="Q12" s="117" t="s">
        <v>8</v>
      </c>
      <c r="R12" s="117" t="s">
        <v>142</v>
      </c>
      <c r="S12" s="316"/>
      <c r="T12" s="318"/>
      <c r="U12" s="123" t="s">
        <v>1</v>
      </c>
      <c r="V12" s="117" t="s">
        <v>142</v>
      </c>
      <c r="W12" s="293"/>
      <c r="X12" s="117" t="s">
        <v>1</v>
      </c>
      <c r="Y12" s="117" t="s">
        <v>142</v>
      </c>
      <c r="Z12" s="117" t="s">
        <v>1</v>
      </c>
      <c r="AA12" s="117" t="s">
        <v>142</v>
      </c>
      <c r="AB12" s="117" t="s">
        <v>1</v>
      </c>
      <c r="AC12" s="117" t="s">
        <v>142</v>
      </c>
      <c r="AD12" s="117" t="s">
        <v>1</v>
      </c>
      <c r="AE12" s="117" t="s">
        <v>142</v>
      </c>
      <c r="AF12" s="293"/>
      <c r="AG12" s="293"/>
      <c r="AH12" s="117" t="s">
        <v>1</v>
      </c>
      <c r="AI12" s="117" t="s">
        <v>142</v>
      </c>
      <c r="AJ12" s="123" t="s">
        <v>1</v>
      </c>
      <c r="AK12" s="117" t="s">
        <v>142</v>
      </c>
      <c r="AL12" s="293"/>
      <c r="AM12" s="293"/>
      <c r="AN12" s="293"/>
      <c r="AO12" s="320"/>
      <c r="AP12" s="293"/>
      <c r="AQ12" s="318"/>
      <c r="AR12" s="318"/>
      <c r="AS12" s="293"/>
      <c r="AT12" s="320"/>
      <c r="AU12" s="320"/>
      <c r="AV12" s="293"/>
    </row>
    <row r="13" spans="1:58" s="66" customFormat="1" ht="68.25" customHeight="1" x14ac:dyDescent="0.25">
      <c r="A13" s="13">
        <v>1</v>
      </c>
      <c r="B13" s="13">
        <v>2</v>
      </c>
      <c r="C13" s="13">
        <v>3</v>
      </c>
      <c r="D13" s="13">
        <v>4</v>
      </c>
      <c r="E13" s="13">
        <v>5</v>
      </c>
      <c r="F13" s="13">
        <v>6</v>
      </c>
      <c r="G13" s="13" t="s">
        <v>143</v>
      </c>
      <c r="H13" s="13">
        <v>8</v>
      </c>
      <c r="I13" s="13" t="s">
        <v>76</v>
      </c>
      <c r="J13" s="14">
        <v>10</v>
      </c>
      <c r="K13" s="13" t="s">
        <v>77</v>
      </c>
      <c r="L13" s="13" t="s">
        <v>144</v>
      </c>
      <c r="M13" s="14">
        <v>13</v>
      </c>
      <c r="N13" s="14" t="s">
        <v>145</v>
      </c>
      <c r="O13" s="13">
        <v>15</v>
      </c>
      <c r="P13" s="13">
        <v>16</v>
      </c>
      <c r="Q13" s="13">
        <v>17</v>
      </c>
      <c r="R13" s="13">
        <v>18</v>
      </c>
      <c r="S13" s="13">
        <v>19</v>
      </c>
      <c r="T13" s="13">
        <v>20</v>
      </c>
      <c r="U13" s="13">
        <v>21</v>
      </c>
      <c r="V13" s="13" t="s">
        <v>146</v>
      </c>
      <c r="W13" s="13" t="s">
        <v>147</v>
      </c>
      <c r="X13" s="13">
        <v>24</v>
      </c>
      <c r="Y13" s="13" t="s">
        <v>148</v>
      </c>
      <c r="Z13" s="13">
        <v>26</v>
      </c>
      <c r="AA13" s="13" t="s">
        <v>149</v>
      </c>
      <c r="AB13" s="13">
        <v>28</v>
      </c>
      <c r="AC13" s="13" t="s">
        <v>150</v>
      </c>
      <c r="AD13" s="13">
        <v>30</v>
      </c>
      <c r="AE13" s="13" t="s">
        <v>151</v>
      </c>
      <c r="AF13" s="13" t="s">
        <v>152</v>
      </c>
      <c r="AG13" s="139" t="s">
        <v>422</v>
      </c>
      <c r="AH13" s="13">
        <v>34</v>
      </c>
      <c r="AI13" s="13" t="s">
        <v>153</v>
      </c>
      <c r="AJ13" s="13">
        <v>36</v>
      </c>
      <c r="AK13" s="13">
        <v>37</v>
      </c>
      <c r="AL13" s="13" t="s">
        <v>278</v>
      </c>
      <c r="AM13" s="15">
        <v>39</v>
      </c>
      <c r="AN13" s="14" t="s">
        <v>279</v>
      </c>
      <c r="AO13" s="16">
        <v>41</v>
      </c>
      <c r="AP13" s="13" t="s">
        <v>280</v>
      </c>
      <c r="AQ13" s="13" t="s">
        <v>281</v>
      </c>
      <c r="AR13" s="13">
        <v>44</v>
      </c>
      <c r="AS13" s="13" t="s">
        <v>376</v>
      </c>
      <c r="AT13" s="16" t="s">
        <v>378</v>
      </c>
      <c r="AU13" s="16" t="s">
        <v>423</v>
      </c>
      <c r="AV13" s="13" t="s">
        <v>379</v>
      </c>
    </row>
    <row r="14" spans="1:58" s="149" customFormat="1" ht="21.75" customHeight="1" x14ac:dyDescent="0.2">
      <c r="A14" s="148"/>
      <c r="B14" s="86" t="s">
        <v>424</v>
      </c>
      <c r="C14" s="148"/>
      <c r="D14" s="148"/>
      <c r="E14" s="148"/>
      <c r="F14" s="148"/>
      <c r="G14" s="137">
        <f>SUM(G15:G18)</f>
        <v>1</v>
      </c>
      <c r="H14" s="216">
        <f t="shared" ref="H14:AV14" si="0">SUM(H15:H18)</f>
        <v>3220</v>
      </c>
      <c r="I14" s="216">
        <f t="shared" si="0"/>
        <v>3220</v>
      </c>
      <c r="J14" s="216">
        <f t="shared" si="0"/>
        <v>0</v>
      </c>
      <c r="K14" s="216">
        <f t="shared" si="0"/>
        <v>0</v>
      </c>
      <c r="L14" s="216">
        <f t="shared" si="0"/>
        <v>3220</v>
      </c>
      <c r="M14" s="216">
        <f t="shared" si="0"/>
        <v>0.25</v>
      </c>
      <c r="N14" s="216">
        <f t="shared" si="0"/>
        <v>805</v>
      </c>
      <c r="O14" s="216">
        <f t="shared" si="0"/>
        <v>0</v>
      </c>
      <c r="P14" s="216">
        <f t="shared" si="0"/>
        <v>0</v>
      </c>
      <c r="Q14" s="216">
        <f t="shared" si="0"/>
        <v>0</v>
      </c>
      <c r="R14" s="216">
        <f t="shared" si="0"/>
        <v>0</v>
      </c>
      <c r="S14" s="216">
        <f t="shared" si="0"/>
        <v>0</v>
      </c>
      <c r="T14" s="216">
        <f t="shared" si="0"/>
        <v>0</v>
      </c>
      <c r="U14" s="216"/>
      <c r="V14" s="216">
        <f t="shared" si="0"/>
        <v>483</v>
      </c>
      <c r="W14" s="216">
        <f t="shared" si="0"/>
        <v>966</v>
      </c>
      <c r="X14" s="216"/>
      <c r="Y14" s="216">
        <f t="shared" si="0"/>
        <v>966</v>
      </c>
      <c r="Z14" s="216"/>
      <c r="AA14" s="216">
        <f t="shared" si="0"/>
        <v>1288</v>
      </c>
      <c r="AB14" s="216"/>
      <c r="AC14" s="216">
        <f t="shared" si="0"/>
        <v>483</v>
      </c>
      <c r="AD14" s="216">
        <f t="shared" si="0"/>
        <v>0</v>
      </c>
      <c r="AE14" s="216">
        <f t="shared" si="0"/>
        <v>0</v>
      </c>
      <c r="AF14" s="216">
        <f t="shared" si="0"/>
        <v>322</v>
      </c>
      <c r="AG14" s="216">
        <f t="shared" si="0"/>
        <v>322</v>
      </c>
      <c r="AH14" s="239">
        <f t="shared" si="0"/>
        <v>0</v>
      </c>
      <c r="AI14" s="216">
        <f t="shared" si="0"/>
        <v>0</v>
      </c>
      <c r="AJ14" s="216">
        <f t="shared" si="0"/>
        <v>0</v>
      </c>
      <c r="AK14" s="216">
        <f t="shared" si="0"/>
        <v>0</v>
      </c>
      <c r="AL14" s="217">
        <f t="shared" si="0"/>
        <v>8855</v>
      </c>
      <c r="AM14" s="217">
        <f t="shared" si="0"/>
        <v>4427.5</v>
      </c>
      <c r="AN14" s="217">
        <f t="shared" si="0"/>
        <v>4427.5</v>
      </c>
      <c r="AO14" s="217">
        <f t="shared" si="0"/>
        <v>4427.5</v>
      </c>
      <c r="AP14" s="217">
        <f t="shared" si="0"/>
        <v>3220</v>
      </c>
      <c r="AQ14" s="217">
        <f t="shared" si="0"/>
        <v>637.29999999999995</v>
      </c>
      <c r="AR14" s="217">
        <f t="shared" si="0"/>
        <v>0</v>
      </c>
      <c r="AS14" s="217">
        <f t="shared" si="0"/>
        <v>119</v>
      </c>
      <c r="AT14" s="217">
        <f t="shared" si="0"/>
        <v>26.4</v>
      </c>
      <c r="AU14" s="217">
        <f t="shared" si="0"/>
        <v>5.4</v>
      </c>
      <c r="AV14" s="217">
        <f t="shared" si="0"/>
        <v>150.80000000000001</v>
      </c>
    </row>
    <row r="15" spans="1:58" s="142" customFormat="1" ht="13.5" customHeight="1" x14ac:dyDescent="0.2">
      <c r="A15" s="140">
        <v>1</v>
      </c>
      <c r="B15" s="146" t="s">
        <v>425</v>
      </c>
      <c r="C15" s="140" t="s">
        <v>426</v>
      </c>
      <c r="D15" s="141" t="s">
        <v>396</v>
      </c>
      <c r="E15" s="140">
        <v>18</v>
      </c>
      <c r="F15" s="140">
        <v>18</v>
      </c>
      <c r="G15" s="140">
        <f>F15/E15</f>
        <v>1</v>
      </c>
      <c r="H15" s="168">
        <v>3220</v>
      </c>
      <c r="I15" s="168">
        <f>ROUND(G15*H15,1)</f>
        <v>3220</v>
      </c>
      <c r="J15" s="233"/>
      <c r="K15" s="168">
        <f>ROUND(I15*J15,1)</f>
        <v>0</v>
      </c>
      <c r="L15" s="168">
        <f>I15+K15</f>
        <v>3220</v>
      </c>
      <c r="M15" s="233">
        <v>0.25</v>
      </c>
      <c r="N15" s="168">
        <f>ROUND(L15*M15,1)</f>
        <v>805</v>
      </c>
      <c r="O15" s="234"/>
      <c r="P15" s="168"/>
      <c r="Q15" s="234"/>
      <c r="R15" s="168"/>
      <c r="S15" s="235"/>
      <c r="T15" s="168"/>
      <c r="U15" s="233">
        <v>0.15</v>
      </c>
      <c r="V15" s="168">
        <f>L15*U15</f>
        <v>483</v>
      </c>
      <c r="W15" s="168">
        <f>ROUND(L15*30%,1)</f>
        <v>966</v>
      </c>
      <c r="X15" s="233">
        <v>0.3</v>
      </c>
      <c r="Y15" s="168">
        <f>ROUND(L15*X15,1)</f>
        <v>966</v>
      </c>
      <c r="Z15" s="233">
        <v>0.4</v>
      </c>
      <c r="AA15" s="168">
        <f>ROUND(L15*Z15,1)</f>
        <v>1288</v>
      </c>
      <c r="AB15" s="233">
        <f>15%</f>
        <v>0.15</v>
      </c>
      <c r="AC15" s="168">
        <f>ROUND(L15*AB15,1)</f>
        <v>483</v>
      </c>
      <c r="AD15" s="168" t="s">
        <v>396</v>
      </c>
      <c r="AE15" s="168" t="s">
        <v>396</v>
      </c>
      <c r="AF15" s="168">
        <f>ROUND(L15*10%,1)</f>
        <v>322</v>
      </c>
      <c r="AG15" s="168">
        <f>ROUND(L15*10%,1)</f>
        <v>322</v>
      </c>
      <c r="AH15" s="233"/>
      <c r="AI15" s="168"/>
      <c r="AJ15" s="168"/>
      <c r="AK15" s="168"/>
      <c r="AL15" s="241">
        <f>ROUND(L15+N15+P15+R15+T15+V15+W15+Y15+AA15+AC15+AF15+AG15+AK15+AI15,1)</f>
        <v>8855</v>
      </c>
      <c r="AM15" s="241">
        <f>ROUND(AL15/2,1)</f>
        <v>4427.5</v>
      </c>
      <c r="AN15" s="241">
        <f>ROUND(AL15-AM15,1)</f>
        <v>4427.5</v>
      </c>
      <c r="AO15" s="242">
        <f>IF(AN15&gt;6650,6650,AN15)</f>
        <v>4427.5</v>
      </c>
      <c r="AP15" s="241">
        <f>ROUND(L15,1)</f>
        <v>3220</v>
      </c>
      <c r="AQ15" s="241">
        <f>ROUND((AP15+AM15)/12,1)</f>
        <v>637.29999999999995</v>
      </c>
      <c r="AR15" s="241"/>
      <c r="AS15" s="241">
        <f>ROUND((AL15*12+AM15+AN15+AP15+AQ15+AR15)/1000,1)</f>
        <v>119</v>
      </c>
      <c r="AT15" s="241">
        <f>ROUND((AS15-AO15/1000)*23%,1)</f>
        <v>26.4</v>
      </c>
      <c r="AU15" s="241">
        <f>ROUND(AS15*4.5%,1)</f>
        <v>5.4</v>
      </c>
      <c r="AV15" s="241">
        <f>AS15+AT15+AU15</f>
        <v>150.80000000000001</v>
      </c>
    </row>
    <row r="16" spans="1:58" s="142" customFormat="1" ht="14.45" customHeight="1" x14ac:dyDescent="0.2">
      <c r="A16" s="140">
        <v>2</v>
      </c>
      <c r="B16" s="140"/>
      <c r="C16" s="140"/>
      <c r="D16" s="141" t="s">
        <v>396</v>
      </c>
      <c r="E16" s="140"/>
      <c r="F16" s="140"/>
      <c r="G16" s="143"/>
      <c r="H16" s="168"/>
      <c r="I16" s="168">
        <f t="shared" ref="I16:I23" si="1">ROUND(G16*H16,1)</f>
        <v>0</v>
      </c>
      <c r="J16" s="236"/>
      <c r="K16" s="168">
        <f t="shared" ref="K16:K18" si="2">ROUND(I16*J16,1)</f>
        <v>0</v>
      </c>
      <c r="L16" s="168">
        <f t="shared" ref="L16:L18" si="3">I16+K16</f>
        <v>0</v>
      </c>
      <c r="M16" s="233"/>
      <c r="N16" s="168">
        <f t="shared" ref="N16:N23" si="4">ROUND(L16*M16,1)</f>
        <v>0</v>
      </c>
      <c r="O16" s="234"/>
      <c r="P16" s="168"/>
      <c r="Q16" s="234"/>
      <c r="R16" s="168"/>
      <c r="S16" s="235"/>
      <c r="T16" s="168"/>
      <c r="U16" s="233"/>
      <c r="V16" s="168">
        <f t="shared" ref="V16:V18" si="5">L16*U16</f>
        <v>0</v>
      </c>
      <c r="W16" s="168">
        <f t="shared" ref="W16:W23" si="6">ROUND(L16*30%,1)</f>
        <v>0</v>
      </c>
      <c r="X16" s="233"/>
      <c r="Y16" s="168">
        <f t="shared" ref="Y16:Y23" si="7">ROUND(L16*X16,1)</f>
        <v>0</v>
      </c>
      <c r="Z16" s="233"/>
      <c r="AA16" s="168">
        <f t="shared" ref="AA16:AA23" si="8">ROUND(L16*Z16,1)</f>
        <v>0</v>
      </c>
      <c r="AB16" s="233"/>
      <c r="AC16" s="168">
        <f t="shared" ref="AC16:AC23" si="9">ROUND(L16*AB16,1)</f>
        <v>0</v>
      </c>
      <c r="AD16" s="168" t="s">
        <v>396</v>
      </c>
      <c r="AE16" s="168" t="s">
        <v>396</v>
      </c>
      <c r="AF16" s="168">
        <f t="shared" ref="AF16:AF18" si="10">ROUND(L16*10%,1)</f>
        <v>0</v>
      </c>
      <c r="AG16" s="168">
        <f t="shared" ref="AG16:AG23" si="11">ROUND(L16*10%,1)</f>
        <v>0</v>
      </c>
      <c r="AH16" s="233"/>
      <c r="AI16" s="168"/>
      <c r="AJ16" s="168"/>
      <c r="AK16" s="168"/>
      <c r="AL16" s="241">
        <f t="shared" ref="AL16:AL18" si="12">ROUND(L16+N16+P16+R16+T16+V16+W16+Y16+AA16+AC16+AF16+AG16+AK16+AI16,1)</f>
        <v>0</v>
      </c>
      <c r="AM16" s="241">
        <f t="shared" ref="AM16:AM23" si="13">ROUND(AL16/2,1)</f>
        <v>0</v>
      </c>
      <c r="AN16" s="241">
        <f t="shared" ref="AN16:AN23" si="14">ROUND(AL16-AM16,1)</f>
        <v>0</v>
      </c>
      <c r="AO16" s="242">
        <f t="shared" ref="AO16:AO18" si="15">IF(AN16&gt;6650,6650,AN16)</f>
        <v>0</v>
      </c>
      <c r="AP16" s="241">
        <f t="shared" ref="AP16:AP23" si="16">ROUND(L16,1)</f>
        <v>0</v>
      </c>
      <c r="AQ16" s="241">
        <f t="shared" ref="AQ16:AQ23" si="17">ROUND((AP16+AM16)/12,1)</f>
        <v>0</v>
      </c>
      <c r="AR16" s="241"/>
      <c r="AS16" s="241">
        <f t="shared" ref="AS16:AS23" si="18">ROUND((AL16*12+AM16+AN16+AP16+AQ16+AR16)/1000,1)</f>
        <v>0</v>
      </c>
      <c r="AT16" s="241">
        <f t="shared" ref="AT16:AT23" si="19">ROUND((AS16-AO16/1000)*23%,1)</f>
        <v>0</v>
      </c>
      <c r="AU16" s="241">
        <f t="shared" ref="AU16:AU23" si="20">ROUND(AS16*4.5%,1)</f>
        <v>0</v>
      </c>
      <c r="AV16" s="241">
        <f t="shared" ref="AV16:AV23" si="21">AS16+AT16+AU16</f>
        <v>0</v>
      </c>
    </row>
    <row r="17" spans="1:58" s="142" customFormat="1" ht="14.45" customHeight="1" x14ac:dyDescent="0.2">
      <c r="A17" s="140">
        <v>3</v>
      </c>
      <c r="B17" s="140"/>
      <c r="C17" s="140"/>
      <c r="D17" s="141" t="s">
        <v>396</v>
      </c>
      <c r="E17" s="140"/>
      <c r="F17" s="140"/>
      <c r="G17" s="140"/>
      <c r="H17" s="168"/>
      <c r="I17" s="168">
        <f t="shared" si="1"/>
        <v>0</v>
      </c>
      <c r="J17" s="236"/>
      <c r="K17" s="168">
        <f t="shared" si="2"/>
        <v>0</v>
      </c>
      <c r="L17" s="168">
        <f t="shared" si="3"/>
        <v>0</v>
      </c>
      <c r="M17" s="233"/>
      <c r="N17" s="168">
        <f t="shared" si="4"/>
        <v>0</v>
      </c>
      <c r="O17" s="234"/>
      <c r="P17" s="168"/>
      <c r="Q17" s="234"/>
      <c r="R17" s="168"/>
      <c r="S17" s="235"/>
      <c r="T17" s="168"/>
      <c r="U17" s="233"/>
      <c r="V17" s="168">
        <f t="shared" si="5"/>
        <v>0</v>
      </c>
      <c r="W17" s="168">
        <f t="shared" si="6"/>
        <v>0</v>
      </c>
      <c r="X17" s="233"/>
      <c r="Y17" s="168">
        <f t="shared" si="7"/>
        <v>0</v>
      </c>
      <c r="Z17" s="233"/>
      <c r="AA17" s="168">
        <f t="shared" si="8"/>
        <v>0</v>
      </c>
      <c r="AB17" s="233"/>
      <c r="AC17" s="168">
        <f t="shared" si="9"/>
        <v>0</v>
      </c>
      <c r="AD17" s="168" t="s">
        <v>396</v>
      </c>
      <c r="AE17" s="168" t="s">
        <v>396</v>
      </c>
      <c r="AF17" s="168">
        <f t="shared" si="10"/>
        <v>0</v>
      </c>
      <c r="AG17" s="168">
        <f t="shared" si="11"/>
        <v>0</v>
      </c>
      <c r="AH17" s="233"/>
      <c r="AI17" s="168"/>
      <c r="AJ17" s="168"/>
      <c r="AK17" s="168"/>
      <c r="AL17" s="241">
        <f t="shared" si="12"/>
        <v>0</v>
      </c>
      <c r="AM17" s="241">
        <f t="shared" si="13"/>
        <v>0</v>
      </c>
      <c r="AN17" s="241">
        <f t="shared" si="14"/>
        <v>0</v>
      </c>
      <c r="AO17" s="242">
        <f t="shared" si="15"/>
        <v>0</v>
      </c>
      <c r="AP17" s="241">
        <f t="shared" si="16"/>
        <v>0</v>
      </c>
      <c r="AQ17" s="241">
        <f t="shared" si="17"/>
        <v>0</v>
      </c>
      <c r="AR17" s="241"/>
      <c r="AS17" s="241">
        <f t="shared" si="18"/>
        <v>0</v>
      </c>
      <c r="AT17" s="241">
        <f t="shared" si="19"/>
        <v>0</v>
      </c>
      <c r="AU17" s="241">
        <f t="shared" si="20"/>
        <v>0</v>
      </c>
      <c r="AV17" s="241">
        <f t="shared" si="21"/>
        <v>0</v>
      </c>
    </row>
    <row r="18" spans="1:58" s="142" customFormat="1" ht="14.45" customHeight="1" x14ac:dyDescent="0.2">
      <c r="A18" s="140"/>
      <c r="B18" s="140"/>
      <c r="C18" s="140"/>
      <c r="D18" s="141" t="s">
        <v>396</v>
      </c>
      <c r="E18" s="140"/>
      <c r="F18" s="140"/>
      <c r="G18" s="140"/>
      <c r="H18" s="168"/>
      <c r="I18" s="168">
        <f t="shared" si="1"/>
        <v>0</v>
      </c>
      <c r="J18" s="236"/>
      <c r="K18" s="168">
        <f t="shared" si="2"/>
        <v>0</v>
      </c>
      <c r="L18" s="168">
        <f t="shared" si="3"/>
        <v>0</v>
      </c>
      <c r="M18" s="233"/>
      <c r="N18" s="168">
        <f t="shared" si="4"/>
        <v>0</v>
      </c>
      <c r="O18" s="234"/>
      <c r="P18" s="168"/>
      <c r="Q18" s="234"/>
      <c r="R18" s="168"/>
      <c r="S18" s="235"/>
      <c r="T18" s="168"/>
      <c r="U18" s="233"/>
      <c r="V18" s="168">
        <f t="shared" si="5"/>
        <v>0</v>
      </c>
      <c r="W18" s="168">
        <f t="shared" si="6"/>
        <v>0</v>
      </c>
      <c r="X18" s="233"/>
      <c r="Y18" s="168">
        <f t="shared" si="7"/>
        <v>0</v>
      </c>
      <c r="Z18" s="233"/>
      <c r="AA18" s="168">
        <f t="shared" si="8"/>
        <v>0</v>
      </c>
      <c r="AB18" s="233"/>
      <c r="AC18" s="168">
        <f t="shared" si="9"/>
        <v>0</v>
      </c>
      <c r="AD18" s="168" t="s">
        <v>396</v>
      </c>
      <c r="AE18" s="168" t="s">
        <v>396</v>
      </c>
      <c r="AF18" s="168">
        <f t="shared" si="10"/>
        <v>0</v>
      </c>
      <c r="AG18" s="168">
        <f t="shared" si="11"/>
        <v>0</v>
      </c>
      <c r="AH18" s="233"/>
      <c r="AI18" s="168"/>
      <c r="AJ18" s="168"/>
      <c r="AK18" s="168"/>
      <c r="AL18" s="241">
        <f t="shared" si="12"/>
        <v>0</v>
      </c>
      <c r="AM18" s="241">
        <f t="shared" si="13"/>
        <v>0</v>
      </c>
      <c r="AN18" s="241">
        <f t="shared" si="14"/>
        <v>0</v>
      </c>
      <c r="AO18" s="242">
        <f t="shared" si="15"/>
        <v>0</v>
      </c>
      <c r="AP18" s="241">
        <f t="shared" si="16"/>
        <v>0</v>
      </c>
      <c r="AQ18" s="241">
        <f t="shared" si="17"/>
        <v>0</v>
      </c>
      <c r="AR18" s="241"/>
      <c r="AS18" s="241">
        <f t="shared" si="18"/>
        <v>0</v>
      </c>
      <c r="AT18" s="241">
        <f t="shared" si="19"/>
        <v>0</v>
      </c>
      <c r="AU18" s="241">
        <f t="shared" si="20"/>
        <v>0</v>
      </c>
      <c r="AV18" s="241">
        <f t="shared" si="21"/>
        <v>0</v>
      </c>
    </row>
    <row r="19" spans="1:58" s="172" customFormat="1" ht="41.25" customHeight="1" x14ac:dyDescent="0.2">
      <c r="A19" s="170"/>
      <c r="B19" s="171" t="s">
        <v>427</v>
      </c>
      <c r="C19" s="170"/>
      <c r="D19" s="170"/>
      <c r="E19" s="170"/>
      <c r="F19" s="170"/>
      <c r="G19" s="170">
        <f t="shared" ref="G19:AU19" si="22">SUM(G20:G23)</f>
        <v>1</v>
      </c>
      <c r="H19" s="240">
        <f t="shared" si="22"/>
        <v>1460</v>
      </c>
      <c r="I19" s="240">
        <f t="shared" si="22"/>
        <v>1460</v>
      </c>
      <c r="J19" s="240"/>
      <c r="K19" s="240"/>
      <c r="L19" s="240">
        <f t="shared" si="22"/>
        <v>1460</v>
      </c>
      <c r="M19" s="240">
        <f t="shared" si="22"/>
        <v>0</v>
      </c>
      <c r="N19" s="240">
        <f t="shared" si="22"/>
        <v>0</v>
      </c>
      <c r="O19" s="240">
        <f t="shared" si="22"/>
        <v>0</v>
      </c>
      <c r="P19" s="240">
        <f t="shared" si="22"/>
        <v>0</v>
      </c>
      <c r="Q19" s="240">
        <f t="shared" si="22"/>
        <v>0</v>
      </c>
      <c r="R19" s="240">
        <f t="shared" si="22"/>
        <v>0</v>
      </c>
      <c r="S19" s="240">
        <f t="shared" si="22"/>
        <v>0</v>
      </c>
      <c r="T19" s="240">
        <f t="shared" si="22"/>
        <v>0</v>
      </c>
      <c r="U19" s="240">
        <f t="shared" si="22"/>
        <v>0</v>
      </c>
      <c r="V19" s="240">
        <f t="shared" si="22"/>
        <v>0</v>
      </c>
      <c r="W19" s="240">
        <f t="shared" si="22"/>
        <v>438</v>
      </c>
      <c r="X19" s="240">
        <f t="shared" si="22"/>
        <v>0</v>
      </c>
      <c r="Y19" s="240">
        <f t="shared" si="22"/>
        <v>0</v>
      </c>
      <c r="Z19" s="240">
        <f t="shared" si="22"/>
        <v>0</v>
      </c>
      <c r="AA19" s="240">
        <f t="shared" si="22"/>
        <v>0</v>
      </c>
      <c r="AB19" s="240">
        <f t="shared" si="22"/>
        <v>0</v>
      </c>
      <c r="AC19" s="240">
        <f t="shared" si="22"/>
        <v>0</v>
      </c>
      <c r="AD19" s="240"/>
      <c r="AE19" s="240">
        <f t="shared" si="22"/>
        <v>292</v>
      </c>
      <c r="AF19" s="240">
        <f t="shared" si="22"/>
        <v>0</v>
      </c>
      <c r="AG19" s="240">
        <f t="shared" si="22"/>
        <v>146</v>
      </c>
      <c r="AH19" s="240">
        <f t="shared" si="22"/>
        <v>0.5</v>
      </c>
      <c r="AI19" s="240">
        <f t="shared" si="22"/>
        <v>730</v>
      </c>
      <c r="AJ19" s="240">
        <f t="shared" si="22"/>
        <v>0</v>
      </c>
      <c r="AK19" s="240">
        <f t="shared" si="22"/>
        <v>0</v>
      </c>
      <c r="AL19" s="243">
        <f t="shared" si="22"/>
        <v>3066</v>
      </c>
      <c r="AM19" s="243">
        <f t="shared" si="22"/>
        <v>1533</v>
      </c>
      <c r="AN19" s="243">
        <f t="shared" si="22"/>
        <v>1533</v>
      </c>
      <c r="AO19" s="243">
        <f t="shared" si="22"/>
        <v>1533</v>
      </c>
      <c r="AP19" s="243">
        <f t="shared" si="22"/>
        <v>1460</v>
      </c>
      <c r="AQ19" s="243">
        <f t="shared" si="22"/>
        <v>249.4</v>
      </c>
      <c r="AR19" s="243">
        <f t="shared" si="22"/>
        <v>0</v>
      </c>
      <c r="AS19" s="243">
        <f t="shared" si="22"/>
        <v>41.6</v>
      </c>
      <c r="AT19" s="243">
        <f t="shared" si="22"/>
        <v>9.1999999999999993</v>
      </c>
      <c r="AU19" s="243">
        <f t="shared" si="22"/>
        <v>1.9</v>
      </c>
      <c r="AV19" s="243">
        <f>SUM(AV20:AV23)</f>
        <v>52.699999999999996</v>
      </c>
    </row>
    <row r="20" spans="1:58" ht="14.45" customHeight="1" x14ac:dyDescent="0.2">
      <c r="A20" s="18">
        <v>1</v>
      </c>
      <c r="B20" s="18" t="s">
        <v>395</v>
      </c>
      <c r="C20" s="18"/>
      <c r="D20" s="18">
        <v>19</v>
      </c>
      <c r="E20" s="70" t="s">
        <v>396</v>
      </c>
      <c r="F20" s="70" t="s">
        <v>396</v>
      </c>
      <c r="G20" s="18">
        <v>1</v>
      </c>
      <c r="H20" s="17">
        <v>1460</v>
      </c>
      <c r="I20" s="168">
        <f t="shared" si="1"/>
        <v>1460</v>
      </c>
      <c r="J20" s="237"/>
      <c r="K20" s="238"/>
      <c r="L20" s="17">
        <f>I20</f>
        <v>1460</v>
      </c>
      <c r="M20" s="194"/>
      <c r="N20" s="168">
        <f t="shared" si="4"/>
        <v>0</v>
      </c>
      <c r="O20" s="195"/>
      <c r="P20" s="17"/>
      <c r="Q20" s="195"/>
      <c r="R20" s="17"/>
      <c r="S20" s="189"/>
      <c r="T20" s="17"/>
      <c r="U20" s="194"/>
      <c r="V20" s="238">
        <f t="shared" ref="V20:V23" si="23">L20*U20</f>
        <v>0</v>
      </c>
      <c r="W20" s="168">
        <f t="shared" si="6"/>
        <v>438</v>
      </c>
      <c r="X20" s="194"/>
      <c r="Y20" s="168">
        <f t="shared" si="7"/>
        <v>0</v>
      </c>
      <c r="Z20" s="194"/>
      <c r="AA20" s="238">
        <f t="shared" si="8"/>
        <v>0</v>
      </c>
      <c r="AB20" s="194"/>
      <c r="AC20" s="168">
        <f t="shared" si="9"/>
        <v>0</v>
      </c>
      <c r="AD20" s="194">
        <v>0.2</v>
      </c>
      <c r="AE20" s="17">
        <f>ROUND(L20*AD20,1)</f>
        <v>292</v>
      </c>
      <c r="AF20" s="17" t="s">
        <v>396</v>
      </c>
      <c r="AG20" s="168">
        <f t="shared" si="11"/>
        <v>146</v>
      </c>
      <c r="AH20" s="194">
        <v>0.5</v>
      </c>
      <c r="AI20" s="17">
        <f>ROUND(L20*AH20,1)</f>
        <v>730</v>
      </c>
      <c r="AJ20" s="17"/>
      <c r="AK20" s="17"/>
      <c r="AL20" s="241">
        <f>ROUND(L20+N20+P20+R20+T20+V20+W20+AA20+AC20+AG20+AK20+AE20+AI20,1)</f>
        <v>3066</v>
      </c>
      <c r="AM20" s="241">
        <f t="shared" si="13"/>
        <v>1533</v>
      </c>
      <c r="AN20" s="241">
        <f t="shared" si="14"/>
        <v>1533</v>
      </c>
      <c r="AO20" s="201">
        <f>IF(AN20&gt;6650*G20,6650*G20,AN20)</f>
        <v>1533</v>
      </c>
      <c r="AP20" s="241">
        <f t="shared" si="16"/>
        <v>1460</v>
      </c>
      <c r="AQ20" s="241">
        <f t="shared" si="17"/>
        <v>249.4</v>
      </c>
      <c r="AR20" s="241"/>
      <c r="AS20" s="241">
        <f t="shared" si="18"/>
        <v>41.6</v>
      </c>
      <c r="AT20" s="241">
        <f t="shared" si="19"/>
        <v>9.1999999999999993</v>
      </c>
      <c r="AU20" s="241">
        <f t="shared" si="20"/>
        <v>1.9</v>
      </c>
      <c r="AV20" s="241">
        <f t="shared" si="21"/>
        <v>52.699999999999996</v>
      </c>
    </row>
    <row r="21" spans="1:58" x14ac:dyDescent="0.2">
      <c r="A21" s="18">
        <v>2</v>
      </c>
      <c r="B21" s="18"/>
      <c r="C21" s="18"/>
      <c r="D21" s="18"/>
      <c r="E21" s="70" t="s">
        <v>396</v>
      </c>
      <c r="F21" s="70" t="s">
        <v>396</v>
      </c>
      <c r="G21" s="18"/>
      <c r="H21" s="17"/>
      <c r="I21" s="168">
        <f t="shared" si="1"/>
        <v>0</v>
      </c>
      <c r="J21" s="237"/>
      <c r="K21" s="238"/>
      <c r="L21" s="17">
        <f t="shared" ref="L21:L22" si="24">I21</f>
        <v>0</v>
      </c>
      <c r="M21" s="194"/>
      <c r="N21" s="168">
        <f t="shared" si="4"/>
        <v>0</v>
      </c>
      <c r="O21" s="195"/>
      <c r="P21" s="17"/>
      <c r="Q21" s="195"/>
      <c r="R21" s="17"/>
      <c r="S21" s="189"/>
      <c r="T21" s="17"/>
      <c r="U21" s="194"/>
      <c r="V21" s="238">
        <f t="shared" si="23"/>
        <v>0</v>
      </c>
      <c r="W21" s="168">
        <f t="shared" si="6"/>
        <v>0</v>
      </c>
      <c r="X21" s="194"/>
      <c r="Y21" s="168">
        <f t="shared" si="7"/>
        <v>0</v>
      </c>
      <c r="Z21" s="194"/>
      <c r="AA21" s="238">
        <f t="shared" si="8"/>
        <v>0</v>
      </c>
      <c r="AB21" s="194"/>
      <c r="AC21" s="168">
        <f t="shared" si="9"/>
        <v>0</v>
      </c>
      <c r="AD21" s="194"/>
      <c r="AE21" s="17">
        <f t="shared" ref="AE21:AE23" si="25">ROUND(L21*AD21,1)</f>
        <v>0</v>
      </c>
      <c r="AF21" s="17" t="s">
        <v>396</v>
      </c>
      <c r="AG21" s="168">
        <f t="shared" si="11"/>
        <v>0</v>
      </c>
      <c r="AH21" s="194"/>
      <c r="AI21" s="17">
        <f t="shared" ref="AI21:AI23" si="26">ROUND(L21*AH21,1)</f>
        <v>0</v>
      </c>
      <c r="AJ21" s="17"/>
      <c r="AK21" s="17"/>
      <c r="AL21" s="244">
        <f t="shared" ref="AL21:AL23" si="27">ROUND(L21+N21+P21+R21+T21+V21+W21+AA21+AC21+AG21+AK21+AE21+AI21,1)</f>
        <v>0</v>
      </c>
      <c r="AM21" s="241">
        <f t="shared" si="13"/>
        <v>0</v>
      </c>
      <c r="AN21" s="241">
        <f t="shared" si="14"/>
        <v>0</v>
      </c>
      <c r="AO21" s="201">
        <f t="shared" ref="AO21:AO23" si="28">IF(AN21&gt;6650*G21,6650*G21,AN21)</f>
        <v>0</v>
      </c>
      <c r="AP21" s="241">
        <f t="shared" si="16"/>
        <v>0</v>
      </c>
      <c r="AQ21" s="244">
        <f t="shared" si="17"/>
        <v>0</v>
      </c>
      <c r="AR21" s="244"/>
      <c r="AS21" s="244">
        <f t="shared" si="18"/>
        <v>0</v>
      </c>
      <c r="AT21" s="244">
        <f t="shared" si="19"/>
        <v>0</v>
      </c>
      <c r="AU21" s="244">
        <f t="shared" si="20"/>
        <v>0</v>
      </c>
      <c r="AV21" s="244">
        <f t="shared" si="21"/>
        <v>0</v>
      </c>
    </row>
    <row r="22" spans="1:58" x14ac:dyDescent="0.2">
      <c r="A22" s="18">
        <v>3</v>
      </c>
      <c r="B22" s="18"/>
      <c r="C22" s="18"/>
      <c r="D22" s="18"/>
      <c r="E22" s="70" t="s">
        <v>396</v>
      </c>
      <c r="F22" s="70" t="s">
        <v>396</v>
      </c>
      <c r="G22" s="18"/>
      <c r="H22" s="17"/>
      <c r="I22" s="168">
        <f t="shared" si="1"/>
        <v>0</v>
      </c>
      <c r="J22" s="237"/>
      <c r="K22" s="238"/>
      <c r="L22" s="17">
        <f t="shared" si="24"/>
        <v>0</v>
      </c>
      <c r="M22" s="194"/>
      <c r="N22" s="168">
        <f t="shared" si="4"/>
        <v>0</v>
      </c>
      <c r="O22" s="195"/>
      <c r="P22" s="17"/>
      <c r="Q22" s="195"/>
      <c r="R22" s="17"/>
      <c r="S22" s="189"/>
      <c r="T22" s="17"/>
      <c r="U22" s="194"/>
      <c r="V22" s="238">
        <f t="shared" si="23"/>
        <v>0</v>
      </c>
      <c r="W22" s="168">
        <f t="shared" si="6"/>
        <v>0</v>
      </c>
      <c r="X22" s="194"/>
      <c r="Y22" s="168">
        <f t="shared" si="7"/>
        <v>0</v>
      </c>
      <c r="Z22" s="194"/>
      <c r="AA22" s="238">
        <f t="shared" si="8"/>
        <v>0</v>
      </c>
      <c r="AB22" s="194"/>
      <c r="AC22" s="168">
        <f t="shared" si="9"/>
        <v>0</v>
      </c>
      <c r="AD22" s="194"/>
      <c r="AE22" s="17">
        <f t="shared" si="25"/>
        <v>0</v>
      </c>
      <c r="AF22" s="17" t="s">
        <v>396</v>
      </c>
      <c r="AG22" s="168">
        <f t="shared" si="11"/>
        <v>0</v>
      </c>
      <c r="AH22" s="194"/>
      <c r="AI22" s="17">
        <f t="shared" si="26"/>
        <v>0</v>
      </c>
      <c r="AJ22" s="17"/>
      <c r="AK22" s="17"/>
      <c r="AL22" s="244">
        <f t="shared" si="27"/>
        <v>0</v>
      </c>
      <c r="AM22" s="241">
        <f t="shared" si="13"/>
        <v>0</v>
      </c>
      <c r="AN22" s="241">
        <f t="shared" si="14"/>
        <v>0</v>
      </c>
      <c r="AO22" s="201">
        <f t="shared" si="28"/>
        <v>0</v>
      </c>
      <c r="AP22" s="241">
        <f t="shared" si="16"/>
        <v>0</v>
      </c>
      <c r="AQ22" s="244">
        <f t="shared" si="17"/>
        <v>0</v>
      </c>
      <c r="AR22" s="244"/>
      <c r="AS22" s="244">
        <f t="shared" si="18"/>
        <v>0</v>
      </c>
      <c r="AT22" s="244">
        <f t="shared" si="19"/>
        <v>0</v>
      </c>
      <c r="AU22" s="244">
        <f t="shared" si="20"/>
        <v>0</v>
      </c>
      <c r="AV22" s="244">
        <f t="shared" si="21"/>
        <v>0</v>
      </c>
    </row>
    <row r="23" spans="1:58" x14ac:dyDescent="0.2">
      <c r="A23" s="18"/>
      <c r="B23" s="18"/>
      <c r="C23" s="18"/>
      <c r="D23" s="18"/>
      <c r="E23" s="70" t="s">
        <v>396</v>
      </c>
      <c r="F23" s="70" t="s">
        <v>396</v>
      </c>
      <c r="G23" s="18"/>
      <c r="H23" s="17"/>
      <c r="I23" s="168">
        <f t="shared" si="1"/>
        <v>0</v>
      </c>
      <c r="J23" s="237"/>
      <c r="K23" s="238"/>
      <c r="L23" s="17">
        <f>I23</f>
        <v>0</v>
      </c>
      <c r="M23" s="194"/>
      <c r="N23" s="168">
        <f t="shared" si="4"/>
        <v>0</v>
      </c>
      <c r="O23" s="195"/>
      <c r="P23" s="17"/>
      <c r="Q23" s="195"/>
      <c r="R23" s="17"/>
      <c r="S23" s="189"/>
      <c r="T23" s="17"/>
      <c r="U23" s="194"/>
      <c r="V23" s="238">
        <f t="shared" si="23"/>
        <v>0</v>
      </c>
      <c r="W23" s="168">
        <f t="shared" si="6"/>
        <v>0</v>
      </c>
      <c r="X23" s="194"/>
      <c r="Y23" s="168">
        <f t="shared" si="7"/>
        <v>0</v>
      </c>
      <c r="Z23" s="194"/>
      <c r="AA23" s="238">
        <f t="shared" si="8"/>
        <v>0</v>
      </c>
      <c r="AB23" s="194"/>
      <c r="AC23" s="168">
        <f t="shared" si="9"/>
        <v>0</v>
      </c>
      <c r="AD23" s="194"/>
      <c r="AE23" s="17">
        <f t="shared" si="25"/>
        <v>0</v>
      </c>
      <c r="AF23" s="17" t="s">
        <v>396</v>
      </c>
      <c r="AG23" s="168">
        <f t="shared" si="11"/>
        <v>0</v>
      </c>
      <c r="AH23" s="194"/>
      <c r="AI23" s="17">
        <f t="shared" si="26"/>
        <v>0</v>
      </c>
      <c r="AJ23" s="17"/>
      <c r="AK23" s="17"/>
      <c r="AL23" s="244">
        <f t="shared" si="27"/>
        <v>0</v>
      </c>
      <c r="AM23" s="241">
        <f t="shared" si="13"/>
        <v>0</v>
      </c>
      <c r="AN23" s="241">
        <f t="shared" si="14"/>
        <v>0</v>
      </c>
      <c r="AO23" s="201">
        <f t="shared" si="28"/>
        <v>0</v>
      </c>
      <c r="AP23" s="241">
        <f t="shared" si="16"/>
        <v>0</v>
      </c>
      <c r="AQ23" s="244">
        <f t="shared" si="17"/>
        <v>0</v>
      </c>
      <c r="AR23" s="244"/>
      <c r="AS23" s="244">
        <f t="shared" si="18"/>
        <v>0</v>
      </c>
      <c r="AT23" s="244">
        <f t="shared" si="19"/>
        <v>0</v>
      </c>
      <c r="AU23" s="244">
        <f t="shared" si="20"/>
        <v>0</v>
      </c>
      <c r="AV23" s="244">
        <f t="shared" si="21"/>
        <v>0</v>
      </c>
    </row>
    <row r="24" spans="1:58" ht="14.25" customHeight="1" x14ac:dyDescent="0.2">
      <c r="A24" s="291" t="s">
        <v>428</v>
      </c>
      <c r="B24" s="292"/>
      <c r="C24" s="292"/>
      <c r="D24" s="292"/>
      <c r="E24" s="292"/>
      <c r="F24" s="292"/>
      <c r="G24" s="292"/>
      <c r="H24" s="292"/>
      <c r="I24" s="292"/>
      <c r="J24" s="292"/>
      <c r="K24" s="292"/>
      <c r="L24" s="292"/>
      <c r="M24" s="292"/>
      <c r="N24" s="292"/>
      <c r="O24" s="292"/>
      <c r="P24" s="292"/>
      <c r="Q24" s="292"/>
      <c r="R24" s="292"/>
      <c r="S24" s="292"/>
      <c r="T24" s="292"/>
      <c r="U24" s="292"/>
      <c r="V24" s="292"/>
      <c r="W24" s="292"/>
      <c r="X24" s="108"/>
      <c r="Y24" s="20"/>
      <c r="Z24" s="108"/>
      <c r="AA24" s="20"/>
      <c r="AB24" s="20"/>
      <c r="AC24" s="109"/>
      <c r="AD24" s="108"/>
      <c r="AE24" s="20"/>
      <c r="AF24" s="106"/>
      <c r="AG24" s="20"/>
      <c r="AH24" s="110"/>
      <c r="AI24" s="111"/>
      <c r="AJ24" s="20"/>
      <c r="AK24" s="106"/>
      <c r="AL24" s="20"/>
      <c r="AM24" s="112"/>
      <c r="AN24" s="113"/>
      <c r="AO24" s="20"/>
      <c r="AP24" s="114"/>
      <c r="AQ24" s="20"/>
      <c r="AR24" s="112"/>
      <c r="AS24" s="102"/>
      <c r="AT24" s="20"/>
      <c r="AU24" s="20"/>
      <c r="AV24" s="20"/>
      <c r="AW24" s="20"/>
    </row>
    <row r="25" spans="1:58" ht="14.25" customHeight="1" x14ac:dyDescent="0.2">
      <c r="A25" s="284" t="s">
        <v>429</v>
      </c>
      <c r="B25" s="284"/>
      <c r="C25" s="284"/>
      <c r="D25" s="284"/>
      <c r="E25" s="284"/>
      <c r="F25" s="284"/>
      <c r="G25" s="284"/>
      <c r="H25" s="284"/>
      <c r="I25" s="284"/>
      <c r="J25" s="284"/>
      <c r="K25" s="284"/>
      <c r="L25" s="284"/>
      <c r="M25" s="284"/>
      <c r="N25" s="284"/>
      <c r="O25" s="284"/>
      <c r="P25" s="284"/>
      <c r="Q25" s="284"/>
      <c r="R25" s="284"/>
      <c r="S25" s="284"/>
      <c r="T25" s="284"/>
      <c r="U25" s="284"/>
      <c r="V25" s="284"/>
      <c r="W25" s="284"/>
      <c r="X25" s="108"/>
      <c r="Y25" s="20"/>
      <c r="Z25" s="108"/>
      <c r="AA25" s="20"/>
      <c r="AB25" s="20"/>
      <c r="AC25" s="109"/>
      <c r="AD25" s="108"/>
      <c r="AE25" s="20"/>
      <c r="AF25" s="106"/>
      <c r="AG25" s="20"/>
      <c r="AH25" s="110"/>
      <c r="AI25" s="111"/>
      <c r="AJ25" s="20"/>
      <c r="AK25" s="106"/>
      <c r="AL25" s="20"/>
      <c r="AM25" s="112"/>
      <c r="AN25" s="113"/>
      <c r="AO25" s="20"/>
      <c r="AP25" s="114"/>
      <c r="AQ25" s="20"/>
      <c r="AR25" s="112"/>
      <c r="AS25" s="102"/>
      <c r="AT25" s="20"/>
      <c r="AU25" s="20"/>
      <c r="AV25" s="20"/>
      <c r="AW25" s="20"/>
    </row>
    <row r="26" spans="1:58" s="65" customFormat="1" ht="15" x14ac:dyDescent="0.25">
      <c r="A26" s="47" t="s">
        <v>165</v>
      </c>
      <c r="B26" s="48"/>
      <c r="C26" s="48"/>
      <c r="D26" s="48"/>
      <c r="E26" s="48"/>
      <c r="F26" s="48"/>
      <c r="G26" s="48"/>
      <c r="H26" s="48"/>
      <c r="I26" s="48"/>
      <c r="J26" s="48"/>
      <c r="K26" s="48"/>
      <c r="L26" s="48"/>
      <c r="M26" s="48"/>
      <c r="N26" s="48"/>
      <c r="O26" s="48"/>
      <c r="P26" s="48"/>
      <c r="Q26" s="48"/>
      <c r="R26" s="48"/>
      <c r="S26" s="48"/>
      <c r="T26" s="48"/>
      <c r="U26" s="48"/>
      <c r="V26" s="49"/>
      <c r="W26" s="49"/>
      <c r="X26" s="49"/>
      <c r="Y26" s="49"/>
      <c r="Z26" s="49"/>
      <c r="AA26" s="49"/>
      <c r="AB26" s="20"/>
      <c r="AC26" s="20"/>
      <c r="AD26" s="20"/>
      <c r="AE26" s="20"/>
      <c r="AF26" s="20"/>
      <c r="AG26" s="20"/>
      <c r="AH26" s="20"/>
      <c r="AI26" s="20"/>
      <c r="AJ26" s="20"/>
      <c r="AK26" s="20"/>
      <c r="AL26" s="20"/>
      <c r="AM26" s="21"/>
      <c r="AN26" s="21"/>
      <c r="AO26" s="21"/>
      <c r="AP26" s="21"/>
      <c r="AQ26" s="19"/>
      <c r="AR26" s="19"/>
      <c r="AS26" s="20"/>
      <c r="AT26" s="20"/>
      <c r="AU26" s="102"/>
      <c r="AV26" s="102"/>
      <c r="AW26" s="21"/>
      <c r="AX26" s="37"/>
      <c r="AY26" s="20"/>
      <c r="AZ26" s="20"/>
      <c r="BA26" s="20"/>
      <c r="BB26" s="20"/>
    </row>
    <row r="27" spans="1:58" s="65" customFormat="1" ht="15" x14ac:dyDescent="0.25">
      <c r="A27" s="352" t="s">
        <v>430</v>
      </c>
      <c r="B27" s="352"/>
      <c r="C27" s="352"/>
      <c r="D27" s="352"/>
      <c r="E27" s="352"/>
      <c r="F27" s="352"/>
      <c r="G27" s="352"/>
      <c r="H27" s="352"/>
      <c r="I27" s="352"/>
      <c r="J27" s="352"/>
      <c r="K27" s="352"/>
      <c r="L27" s="352"/>
      <c r="M27" s="352"/>
      <c r="N27" s="352"/>
      <c r="O27" s="352"/>
      <c r="P27" s="352"/>
      <c r="Q27" s="352"/>
      <c r="R27" s="352"/>
      <c r="S27" s="352"/>
      <c r="T27" s="352"/>
      <c r="U27" s="352"/>
      <c r="V27" s="352"/>
      <c r="W27" s="352"/>
      <c r="X27" s="49"/>
      <c r="Y27" s="49"/>
      <c r="Z27" s="49"/>
      <c r="AA27" s="49"/>
      <c r="AB27" s="20"/>
      <c r="AC27" s="20"/>
      <c r="AD27" s="20"/>
      <c r="AE27" s="20"/>
      <c r="AF27" s="20"/>
      <c r="AG27" s="20"/>
      <c r="AH27" s="20"/>
      <c r="AI27" s="20"/>
      <c r="AJ27" s="20"/>
      <c r="AK27" s="20"/>
      <c r="AL27" s="20"/>
      <c r="AM27" s="21"/>
      <c r="AN27" s="21"/>
      <c r="AO27" s="21"/>
      <c r="AP27" s="21"/>
      <c r="AQ27" s="19"/>
      <c r="AR27" s="19"/>
      <c r="AS27" s="20"/>
      <c r="AT27" s="20"/>
      <c r="AU27" s="102"/>
      <c r="AV27" s="102"/>
      <c r="AW27" s="21"/>
      <c r="AX27" s="37"/>
      <c r="AY27" s="20"/>
      <c r="AZ27" s="20"/>
      <c r="BA27" s="20"/>
      <c r="BB27" s="20"/>
    </row>
    <row r="28" spans="1:58" s="20" customFormat="1" ht="16.5" customHeight="1" x14ac:dyDescent="0.2">
      <c r="A28" s="285" t="s">
        <v>431</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94"/>
      <c r="Z28" s="94"/>
      <c r="AA28" s="94"/>
      <c r="AB28" s="94"/>
      <c r="AC28" s="94"/>
      <c r="AD28" s="94"/>
      <c r="AE28" s="94"/>
      <c r="AF28" s="94"/>
      <c r="AG28" s="19"/>
      <c r="AH28" s="19"/>
      <c r="AI28" s="19"/>
      <c r="AJ28" s="19"/>
      <c r="AK28" s="19"/>
      <c r="AL28" s="19"/>
      <c r="AM28" s="19"/>
      <c r="AQ28" s="38"/>
      <c r="AR28" s="38"/>
      <c r="AT28" s="22"/>
      <c r="AU28" s="23"/>
      <c r="AV28" s="23"/>
      <c r="AW28" s="23"/>
      <c r="AX28" s="19"/>
      <c r="AY28" s="19"/>
      <c r="AZ28" s="19"/>
      <c r="BA28" s="19"/>
      <c r="BB28" s="19"/>
      <c r="BC28" s="19"/>
      <c r="BD28" s="19"/>
      <c r="BE28" s="19"/>
      <c r="BF28" s="19"/>
    </row>
    <row r="29" spans="1:58" s="20" customFormat="1" ht="29.25" customHeight="1" x14ac:dyDescent="0.2">
      <c r="A29" s="286" t="s">
        <v>432</v>
      </c>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86"/>
      <c r="Z29" s="286"/>
      <c r="AA29" s="286"/>
      <c r="AB29" s="94"/>
      <c r="AC29" s="94"/>
      <c r="AD29" s="94"/>
      <c r="AE29" s="94"/>
      <c r="AF29" s="94"/>
      <c r="AG29" s="19"/>
      <c r="AH29" s="19"/>
      <c r="AI29" s="19"/>
      <c r="AJ29" s="19"/>
      <c r="AK29" s="19"/>
      <c r="AL29" s="19"/>
      <c r="AM29" s="19"/>
      <c r="AQ29" s="38"/>
      <c r="AR29" s="38"/>
      <c r="AT29" s="22"/>
      <c r="AU29" s="23"/>
      <c r="AV29" s="23"/>
      <c r="AW29" s="23"/>
      <c r="AX29" s="19"/>
      <c r="AY29" s="19"/>
      <c r="AZ29" s="19"/>
      <c r="BA29" s="19"/>
      <c r="BB29" s="19"/>
      <c r="BC29" s="19"/>
      <c r="BD29" s="19"/>
      <c r="BE29" s="19"/>
      <c r="BF29" s="19"/>
    </row>
    <row r="30" spans="1:58" ht="25.5" customHeight="1" x14ac:dyDescent="0.2">
      <c r="A30" s="286" t="s">
        <v>433</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86"/>
      <c r="Z30" s="286"/>
      <c r="AA30" s="286"/>
      <c r="AB30" s="20"/>
      <c r="AC30" s="20"/>
      <c r="AD30" s="20"/>
      <c r="AE30" s="20"/>
    </row>
    <row r="31" spans="1:58" ht="12.75" customHeight="1" x14ac:dyDescent="0.2">
      <c r="A31" s="96"/>
      <c r="B31" s="96"/>
      <c r="C31" s="96"/>
      <c r="D31" s="96"/>
      <c r="E31" s="96"/>
      <c r="F31" s="96"/>
      <c r="G31" s="96"/>
      <c r="H31" s="96"/>
      <c r="I31" s="96"/>
      <c r="J31" s="96"/>
      <c r="K31" s="96"/>
      <c r="L31" s="96"/>
      <c r="M31" s="96"/>
      <c r="N31" s="96"/>
      <c r="O31" s="96"/>
      <c r="P31" s="96"/>
      <c r="Q31" s="96"/>
      <c r="R31" s="96"/>
      <c r="S31" s="96"/>
      <c r="T31" s="96"/>
      <c r="U31" s="96"/>
      <c r="V31" s="96"/>
      <c r="W31" s="96"/>
      <c r="X31" s="96"/>
      <c r="Y31" s="20"/>
      <c r="Z31" s="20"/>
      <c r="AA31" s="20"/>
      <c r="AB31" s="20"/>
      <c r="AC31" s="20"/>
      <c r="AD31" s="20"/>
      <c r="AE31" s="20"/>
    </row>
    <row r="32" spans="1:58" s="181" customFormat="1" ht="17.25" customHeight="1" x14ac:dyDescent="0.25">
      <c r="A32" s="298" t="s">
        <v>542</v>
      </c>
      <c r="B32" s="298"/>
      <c r="C32" s="298"/>
      <c r="D32" s="298"/>
      <c r="E32" s="298"/>
      <c r="F32" s="298"/>
      <c r="G32" s="304"/>
      <c r="H32" s="304"/>
      <c r="I32" s="304"/>
      <c r="J32" s="304"/>
      <c r="K32" s="180"/>
      <c r="L32" s="48"/>
      <c r="M32" s="48"/>
      <c r="N32" s="48"/>
      <c r="O32" s="299"/>
      <c r="P32" s="299"/>
      <c r="Q32" s="299"/>
      <c r="R32" s="179"/>
      <c r="S32" s="179"/>
      <c r="T32" s="179"/>
      <c r="U32" s="179"/>
      <c r="V32" s="179"/>
      <c r="W32" s="179"/>
      <c r="X32" s="179"/>
    </row>
    <row r="33" spans="1:26" s="181" customFormat="1" ht="16.899999999999999" customHeight="1" x14ac:dyDescent="0.25">
      <c r="A33" s="179"/>
      <c r="B33" s="179"/>
      <c r="C33" s="179"/>
      <c r="D33" s="179"/>
      <c r="E33" s="179"/>
      <c r="F33" s="179"/>
      <c r="G33" s="301" t="s">
        <v>538</v>
      </c>
      <c r="H33" s="301"/>
      <c r="I33" s="301"/>
      <c r="J33" s="301"/>
      <c r="K33" s="179"/>
      <c r="L33" s="179"/>
      <c r="M33" s="179"/>
      <c r="N33" s="179"/>
      <c r="O33" s="301" t="s">
        <v>539</v>
      </c>
      <c r="P33" s="301"/>
      <c r="Q33" s="301"/>
      <c r="R33" s="179"/>
      <c r="S33" s="179"/>
      <c r="T33" s="179"/>
      <c r="U33" s="179"/>
      <c r="V33" s="179"/>
      <c r="W33" s="179"/>
      <c r="X33" s="179"/>
    </row>
    <row r="34" spans="1:26" customFormat="1" ht="18.75" customHeight="1" x14ac:dyDescent="0.25">
      <c r="A34" s="298" t="s">
        <v>540</v>
      </c>
      <c r="B34" s="298"/>
      <c r="C34" s="298"/>
      <c r="D34" s="298"/>
      <c r="E34" s="298"/>
      <c r="F34" s="298"/>
      <c r="G34" s="299"/>
      <c r="H34" s="299"/>
      <c r="I34" s="299"/>
      <c r="J34" s="299"/>
      <c r="K34" s="182"/>
      <c r="L34" s="299"/>
      <c r="M34" s="299"/>
      <c r="N34" s="299"/>
      <c r="O34" s="299"/>
      <c r="P34" s="183"/>
      <c r="Q34" s="300"/>
      <c r="R34" s="300"/>
      <c r="S34" s="300"/>
      <c r="T34" s="300"/>
      <c r="U34" s="178"/>
      <c r="V34" s="178"/>
      <c r="W34" s="178"/>
      <c r="X34" s="178"/>
      <c r="Y34" s="178"/>
      <c r="Z34" s="178"/>
    </row>
    <row r="35" spans="1:26" customFormat="1" ht="15" customHeight="1" x14ac:dyDescent="0.25">
      <c r="A35" s="184"/>
      <c r="B35" s="184"/>
      <c r="C35" s="184"/>
      <c r="D35" s="184"/>
      <c r="E35" s="78"/>
      <c r="F35" s="78"/>
      <c r="G35" s="301" t="s">
        <v>538</v>
      </c>
      <c r="H35" s="301"/>
      <c r="I35" s="301"/>
      <c r="J35" s="301"/>
      <c r="K35" s="185"/>
      <c r="L35" s="302" t="s">
        <v>304</v>
      </c>
      <c r="M35" s="302"/>
      <c r="N35" s="302"/>
      <c r="O35" s="302"/>
      <c r="P35" s="138"/>
      <c r="Q35" s="303" t="s">
        <v>541</v>
      </c>
      <c r="R35" s="303"/>
      <c r="S35" s="303"/>
      <c r="T35" s="303"/>
      <c r="U35" s="178"/>
      <c r="V35" s="178"/>
      <c r="W35" s="178"/>
      <c r="X35" s="178"/>
      <c r="Y35" s="178"/>
      <c r="Z35" s="178"/>
    </row>
  </sheetData>
  <mergeCells count="65">
    <mergeCell ref="Q35:T35"/>
    <mergeCell ref="A28:X28"/>
    <mergeCell ref="A29:AA29"/>
    <mergeCell ref="A30:AA30"/>
    <mergeCell ref="A32:F32"/>
    <mergeCell ref="G32:J32"/>
    <mergeCell ref="O32:Q32"/>
    <mergeCell ref="G33:J33"/>
    <mergeCell ref="O33:Q33"/>
    <mergeCell ref="A34:F34"/>
    <mergeCell ref="G35:J35"/>
    <mergeCell ref="L35:O35"/>
    <mergeCell ref="D2:Y2"/>
    <mergeCell ref="Q7:R11"/>
    <mergeCell ref="AD7:AE11"/>
    <mergeCell ref="W7:W12"/>
    <mergeCell ref="Z7:AA11"/>
    <mergeCell ref="AB7:AC11"/>
    <mergeCell ref="S7:T10"/>
    <mergeCell ref="U7:V11"/>
    <mergeCell ref="T11:T12"/>
    <mergeCell ref="S11:S12"/>
    <mergeCell ref="D1:Y1"/>
    <mergeCell ref="A7:A12"/>
    <mergeCell ref="B7:B12"/>
    <mergeCell ref="C7:C12"/>
    <mergeCell ref="D7:D12"/>
    <mergeCell ref="E7:E12"/>
    <mergeCell ref="F7:F12"/>
    <mergeCell ref="X7:Y11"/>
    <mergeCell ref="G7:G12"/>
    <mergeCell ref="H7:I9"/>
    <mergeCell ref="J7:K11"/>
    <mergeCell ref="L7:L12"/>
    <mergeCell ref="M7:N11"/>
    <mergeCell ref="H10:H12"/>
    <mergeCell ref="I10:I12"/>
    <mergeCell ref="O7:P11"/>
    <mergeCell ref="AV7:AV12"/>
    <mergeCell ref="AO8:AO12"/>
    <mergeCell ref="AN8:AN12"/>
    <mergeCell ref="AJ7:AK11"/>
    <mergeCell ref="AG7:AG12"/>
    <mergeCell ref="AU7:AU12"/>
    <mergeCell ref="AL7:AL12"/>
    <mergeCell ref="AM7:AM12"/>
    <mergeCell ref="AP7:AP12"/>
    <mergeCell ref="AS7:AS12"/>
    <mergeCell ref="AT7:AT12"/>
    <mergeCell ref="AN7:AO7"/>
    <mergeCell ref="AH7:AI11"/>
    <mergeCell ref="AR7:AR12"/>
    <mergeCell ref="AQ7:AQ12"/>
    <mergeCell ref="B4:C5"/>
    <mergeCell ref="E4:I4"/>
    <mergeCell ref="K4:K5"/>
    <mergeCell ref="E5:I5"/>
    <mergeCell ref="I6:V6"/>
    <mergeCell ref="AF7:AF12"/>
    <mergeCell ref="A24:W24"/>
    <mergeCell ref="A25:W25"/>
    <mergeCell ref="A27:W27"/>
    <mergeCell ref="G34:J34"/>
    <mergeCell ref="L34:O34"/>
    <mergeCell ref="Q34:T34"/>
  </mergeCells>
  <dataValidations count="1">
    <dataValidation type="custom" allowBlank="1" showInputMessage="1" showErrorMessage="1" error="Suma platilor cu caracter stimulator nu trebuie sa depaseasca salariul de baza si sporul pentru vechimea muncii, inmultit cu 12 luni" sqref="AR15:AR18 AR20:AR23">
      <formula1>"&lt;=(I15+N15)*12"</formula1>
    </dataValidation>
  </dataValidations>
  <printOptions horizontalCentered="1"/>
  <pageMargins left="0.31496062992126" right="0.31496062992126" top="0.66929133858267698" bottom="0.66929133858267698" header="0.31496062992126" footer="0.31496062992126"/>
  <pageSetup paperSize="8" scale="70" fitToWidth="2" fitToHeight="80" orientation="landscape" r:id="rId1"/>
  <headerFooter>
    <oddHeader>&amp;R&amp;10Tabelul nr.7</oddHeader>
    <oddFooter>&amp;R&amp;"-,полужирный"&amp;8&amp;P</oddFooter>
  </headerFooter>
  <colBreaks count="1" manualBreakCount="1">
    <brk id="34" max="37"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F35"/>
  <sheetViews>
    <sheetView showZeros="0" view="pageBreakPreview" zoomScale="70" zoomScaleNormal="71" zoomScaleSheetLayoutView="70" workbookViewId="0">
      <pane xSplit="2" ySplit="13" topLeftCell="C14" activePane="bottomRight" state="frozen"/>
      <selection pane="topRight" activeCell="C1" sqref="C1"/>
      <selection pane="bottomLeft" activeCell="A14" sqref="A14"/>
      <selection pane="bottomRight" activeCell="E17" sqref="E17"/>
    </sheetView>
  </sheetViews>
  <sheetFormatPr defaultColWidth="8.85546875" defaultRowHeight="12.75" x14ac:dyDescent="0.2"/>
  <cols>
    <col min="1" max="1" width="6.140625" style="21" customWidth="1"/>
    <col min="2" max="2" width="14" style="21" customWidth="1"/>
    <col min="3" max="4" width="5.5703125" style="21" customWidth="1"/>
    <col min="5" max="5" width="8.28515625" style="21" customWidth="1"/>
    <col min="6" max="6" width="9.5703125" style="21" customWidth="1"/>
    <col min="7" max="7" width="5.7109375" style="21" customWidth="1"/>
    <col min="8" max="8" width="7.7109375" style="21" customWidth="1"/>
    <col min="9" max="9" width="8.28515625" style="21" customWidth="1"/>
    <col min="10" max="10" width="8.140625" style="21" customWidth="1"/>
    <col min="11" max="11" width="7.7109375" style="21" customWidth="1"/>
    <col min="12" max="12" width="7.85546875" style="21" customWidth="1"/>
    <col min="13" max="13" width="10.5703125" style="21" customWidth="1"/>
    <col min="14" max="14" width="7" style="21" customWidth="1"/>
    <col min="15" max="15" width="5.42578125" style="21" customWidth="1"/>
    <col min="16" max="16" width="7.28515625" style="21" customWidth="1"/>
    <col min="17" max="17" width="10.7109375" style="21" customWidth="1"/>
    <col min="18" max="18" width="11.140625" style="21" customWidth="1"/>
    <col min="19" max="19" width="6.7109375" style="21" customWidth="1"/>
    <col min="20" max="20" width="7.28515625" style="21" customWidth="1"/>
    <col min="21" max="21" width="10.140625" style="21" customWidth="1"/>
    <col min="22" max="22" width="15.140625" style="21" customWidth="1"/>
    <col min="23" max="23" width="10.28515625" style="21" customWidth="1"/>
    <col min="24" max="24" width="15.42578125" style="21" customWidth="1"/>
    <col min="25" max="25" width="9" style="21" customWidth="1"/>
    <col min="26" max="27" width="12.140625" style="21" customWidth="1"/>
    <col min="28" max="28" width="10.85546875" style="21" customWidth="1"/>
    <col min="29" max="29" width="11.28515625" style="21" customWidth="1"/>
    <col min="30" max="30" width="9.7109375" style="21" customWidth="1"/>
    <col min="31" max="31" width="10.85546875" style="21" customWidth="1"/>
    <col min="32" max="16384" width="8.85546875" style="21"/>
  </cols>
  <sheetData>
    <row r="1" spans="1:57" s="25" customFormat="1" ht="15.75" x14ac:dyDescent="0.25">
      <c r="A1" s="356" t="s">
        <v>492</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row>
    <row r="2" spans="1:57" ht="15" customHeight="1" x14ac:dyDescent="0.2">
      <c r="A2" s="357" t="s">
        <v>133</v>
      </c>
      <c r="B2" s="357"/>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c r="AC2" s="357"/>
      <c r="AD2" s="357"/>
      <c r="AE2" s="357"/>
      <c r="AF2" s="54"/>
      <c r="AG2" s="54"/>
      <c r="AH2" s="54"/>
      <c r="AI2" s="54"/>
      <c r="AJ2" s="55"/>
      <c r="AK2" s="55"/>
      <c r="AL2" s="55"/>
      <c r="AM2" s="55"/>
      <c r="AN2" s="55"/>
      <c r="AO2" s="20"/>
      <c r="AP2" s="20"/>
      <c r="AQ2" s="20"/>
      <c r="AR2" s="20"/>
      <c r="AS2" s="20"/>
      <c r="AT2" s="20"/>
      <c r="AU2" s="20"/>
      <c r="AV2" s="20"/>
      <c r="AW2" s="20"/>
      <c r="AX2" s="20"/>
      <c r="AY2" s="20"/>
      <c r="AZ2" s="20"/>
      <c r="BA2" s="20"/>
      <c r="BB2" s="20"/>
      <c r="BC2" s="20"/>
      <c r="BD2" s="20"/>
      <c r="BE2" s="20"/>
    </row>
    <row r="3" spans="1:57" x14ac:dyDescent="0.2">
      <c r="B3" s="44"/>
      <c r="F3" s="53"/>
      <c r="I3" s="58"/>
      <c r="J3" s="53"/>
      <c r="K3" s="53"/>
      <c r="L3" s="53"/>
      <c r="M3" s="53"/>
      <c r="N3" s="53"/>
      <c r="O3" s="53"/>
      <c r="P3" s="53"/>
      <c r="Q3" s="53"/>
      <c r="R3" s="53"/>
      <c r="S3" s="53"/>
      <c r="T3" s="53"/>
      <c r="U3" s="53"/>
      <c r="V3" s="51"/>
      <c r="W3" s="51"/>
      <c r="X3" s="51"/>
      <c r="Y3" s="51"/>
      <c r="Z3" s="51"/>
      <c r="AA3" s="51"/>
      <c r="AB3" s="54"/>
      <c r="AC3" s="54"/>
      <c r="AD3" s="54"/>
      <c r="AE3" s="54"/>
      <c r="AF3" s="54"/>
      <c r="AG3" s="54"/>
      <c r="AH3" s="54"/>
      <c r="AI3" s="54"/>
      <c r="AJ3" s="55"/>
      <c r="AK3" s="55"/>
      <c r="AL3" s="55"/>
      <c r="AM3" s="55"/>
      <c r="AN3" s="55"/>
      <c r="AO3" s="20"/>
      <c r="AP3" s="20"/>
      <c r="AQ3" s="20"/>
      <c r="AR3" s="20"/>
      <c r="AS3" s="20"/>
      <c r="AT3" s="20"/>
      <c r="AU3" s="20"/>
      <c r="AV3" s="20"/>
      <c r="AW3" s="20"/>
      <c r="AX3" s="20"/>
      <c r="AY3" s="20"/>
      <c r="AZ3" s="20"/>
      <c r="BA3" s="20"/>
      <c r="BB3" s="20"/>
      <c r="BC3" s="20"/>
      <c r="BD3" s="20"/>
      <c r="BE3" s="20"/>
    </row>
    <row r="4" spans="1:57" x14ac:dyDescent="0.2">
      <c r="B4" s="350" t="s">
        <v>307</v>
      </c>
      <c r="C4" s="350"/>
      <c r="D4" s="79"/>
      <c r="E4" s="289" t="s">
        <v>308</v>
      </c>
      <c r="F4" s="289"/>
      <c r="G4" s="289"/>
      <c r="H4" s="289"/>
      <c r="I4" s="289"/>
      <c r="J4" s="75"/>
      <c r="K4" s="296" t="s">
        <v>164</v>
      </c>
      <c r="L4" s="80" t="s">
        <v>309</v>
      </c>
      <c r="M4" s="80" t="s">
        <v>310</v>
      </c>
      <c r="N4" s="80" t="s">
        <v>311</v>
      </c>
      <c r="O4" s="80" t="s">
        <v>312</v>
      </c>
      <c r="P4" s="80" t="s">
        <v>313</v>
      </c>
      <c r="Q4" s="53"/>
      <c r="R4" s="53"/>
      <c r="S4" s="53"/>
      <c r="T4" s="53"/>
      <c r="U4" s="53"/>
      <c r="V4" s="51"/>
      <c r="W4" s="51"/>
      <c r="X4" s="51"/>
      <c r="Y4" s="51"/>
      <c r="Z4" s="51"/>
      <c r="AA4" s="51"/>
      <c r="AB4" s="54"/>
      <c r="AC4" s="54"/>
      <c r="AD4" s="54"/>
      <c r="AE4" s="54"/>
      <c r="AF4" s="54"/>
      <c r="AG4" s="54"/>
      <c r="AH4" s="54"/>
      <c r="AI4" s="54"/>
      <c r="AJ4" s="55"/>
      <c r="AK4" s="55"/>
      <c r="AL4" s="55"/>
      <c r="AM4" s="55"/>
      <c r="AN4" s="55"/>
      <c r="AO4" s="20"/>
      <c r="AP4" s="20"/>
      <c r="AQ4" s="20"/>
      <c r="AR4" s="20"/>
      <c r="AS4" s="20"/>
      <c r="AT4" s="20"/>
      <c r="AU4" s="20"/>
      <c r="AV4" s="20"/>
      <c r="AW4" s="20"/>
      <c r="AX4" s="20"/>
      <c r="AY4" s="20"/>
      <c r="AZ4" s="20"/>
      <c r="BA4" s="20"/>
      <c r="BB4" s="20"/>
      <c r="BC4" s="20"/>
      <c r="BD4" s="20"/>
      <c r="BE4" s="20"/>
    </row>
    <row r="5" spans="1:57" x14ac:dyDescent="0.2">
      <c r="B5" s="350"/>
      <c r="C5" s="350"/>
      <c r="D5" s="32"/>
      <c r="E5" s="290" t="s">
        <v>314</v>
      </c>
      <c r="F5" s="290"/>
      <c r="G5" s="290"/>
      <c r="H5" s="290"/>
      <c r="I5" s="290"/>
      <c r="J5" s="32"/>
      <c r="K5" s="296"/>
      <c r="L5" s="81"/>
      <c r="M5" s="81"/>
      <c r="N5" s="81"/>
      <c r="O5" s="81"/>
      <c r="P5" s="81"/>
      <c r="S5" s="29"/>
      <c r="U5" s="29"/>
      <c r="W5" s="29"/>
      <c r="X5" s="29"/>
      <c r="Y5" s="30"/>
      <c r="Z5" s="29"/>
      <c r="AA5" s="29"/>
    </row>
    <row r="6" spans="1:57" x14ac:dyDescent="0.2">
      <c r="A6" s="32"/>
      <c r="B6" s="32"/>
      <c r="C6" s="32"/>
      <c r="D6" s="32"/>
      <c r="E6" s="32"/>
      <c r="F6" s="32"/>
      <c r="G6" s="32"/>
      <c r="H6" s="34"/>
      <c r="I6" s="34"/>
      <c r="J6" s="34"/>
      <c r="K6" s="34"/>
      <c r="L6" s="34"/>
      <c r="M6" s="32"/>
      <c r="N6" s="32"/>
      <c r="O6" s="34"/>
      <c r="P6" s="34"/>
      <c r="Q6" s="34"/>
      <c r="R6" s="34"/>
      <c r="S6" s="32"/>
      <c r="U6" s="32"/>
      <c r="V6" s="32"/>
      <c r="W6" s="32"/>
      <c r="X6" s="32"/>
      <c r="Y6" s="32"/>
      <c r="Z6" s="32"/>
      <c r="AA6" s="32"/>
      <c r="AB6" s="32"/>
      <c r="AC6" s="32"/>
      <c r="AD6" s="32"/>
      <c r="AE6" s="32"/>
    </row>
    <row r="7" spans="1:57" s="169" customFormat="1" ht="72.599999999999994" customHeight="1" x14ac:dyDescent="0.2">
      <c r="A7" s="324" t="s">
        <v>2</v>
      </c>
      <c r="B7" s="324" t="s">
        <v>88</v>
      </c>
      <c r="C7" s="340" t="s">
        <v>0</v>
      </c>
      <c r="D7" s="340" t="s">
        <v>20</v>
      </c>
      <c r="E7" s="324" t="s">
        <v>493</v>
      </c>
      <c r="F7" s="324"/>
      <c r="G7" s="324" t="s">
        <v>174</v>
      </c>
      <c r="H7" s="324"/>
      <c r="I7" s="324" t="s">
        <v>176</v>
      </c>
      <c r="J7" s="324"/>
      <c r="K7" s="324" t="s">
        <v>177</v>
      </c>
      <c r="L7" s="324"/>
      <c r="M7" s="324" t="s">
        <v>195</v>
      </c>
      <c r="N7" s="324"/>
      <c r="O7" s="341" t="s">
        <v>179</v>
      </c>
      <c r="P7" s="334"/>
      <c r="Q7" s="324" t="s">
        <v>180</v>
      </c>
      <c r="R7" s="324" t="s">
        <v>282</v>
      </c>
      <c r="S7" s="324" t="s">
        <v>494</v>
      </c>
      <c r="T7" s="324"/>
      <c r="U7" s="324" t="s">
        <v>184</v>
      </c>
      <c r="V7" s="324" t="s">
        <v>205</v>
      </c>
      <c r="W7" s="324" t="s">
        <v>206</v>
      </c>
      <c r="X7" s="324"/>
      <c r="Y7" s="324" t="s">
        <v>187</v>
      </c>
      <c r="Z7" s="315" t="s">
        <v>250</v>
      </c>
      <c r="AA7" s="315" t="s">
        <v>372</v>
      </c>
      <c r="AB7" s="324" t="s">
        <v>188</v>
      </c>
      <c r="AC7" s="344" t="s">
        <v>166</v>
      </c>
      <c r="AD7" s="344" t="s">
        <v>167</v>
      </c>
      <c r="AE7" s="324" t="s">
        <v>332</v>
      </c>
    </row>
    <row r="8" spans="1:57" s="169" customFormat="1" ht="21.6" customHeight="1" x14ac:dyDescent="0.2">
      <c r="A8" s="324"/>
      <c r="B8" s="324"/>
      <c r="C8" s="340"/>
      <c r="D8" s="340"/>
      <c r="E8" s="324"/>
      <c r="F8" s="324"/>
      <c r="G8" s="324"/>
      <c r="H8" s="324"/>
      <c r="I8" s="324"/>
      <c r="J8" s="324"/>
      <c r="K8" s="324"/>
      <c r="L8" s="324"/>
      <c r="M8" s="324"/>
      <c r="N8" s="324"/>
      <c r="O8" s="342"/>
      <c r="P8" s="335"/>
      <c r="Q8" s="324"/>
      <c r="R8" s="324"/>
      <c r="S8" s="324"/>
      <c r="T8" s="324"/>
      <c r="U8" s="324"/>
      <c r="V8" s="324"/>
      <c r="W8" s="324" t="s">
        <v>15</v>
      </c>
      <c r="X8" s="344" t="s">
        <v>306</v>
      </c>
      <c r="Y8" s="324"/>
      <c r="Z8" s="325"/>
      <c r="AA8" s="325"/>
      <c r="AB8" s="324"/>
      <c r="AC8" s="344"/>
      <c r="AD8" s="344"/>
      <c r="AE8" s="324"/>
    </row>
    <row r="9" spans="1:57" s="169" customFormat="1" ht="25.15" customHeight="1" x14ac:dyDescent="0.2">
      <c r="A9" s="324"/>
      <c r="B9" s="324"/>
      <c r="C9" s="340"/>
      <c r="D9" s="340"/>
      <c r="E9" s="324"/>
      <c r="F9" s="324"/>
      <c r="G9" s="324"/>
      <c r="H9" s="324"/>
      <c r="I9" s="324"/>
      <c r="J9" s="324"/>
      <c r="K9" s="324"/>
      <c r="L9" s="324"/>
      <c r="M9" s="324"/>
      <c r="N9" s="324"/>
      <c r="O9" s="342"/>
      <c r="P9" s="335"/>
      <c r="Q9" s="324"/>
      <c r="R9" s="324"/>
      <c r="S9" s="324"/>
      <c r="T9" s="324"/>
      <c r="U9" s="324"/>
      <c r="V9" s="324"/>
      <c r="W9" s="324"/>
      <c r="X9" s="344"/>
      <c r="Y9" s="324"/>
      <c r="Z9" s="325"/>
      <c r="AA9" s="325"/>
      <c r="AB9" s="324"/>
      <c r="AC9" s="344"/>
      <c r="AD9" s="344"/>
      <c r="AE9" s="324"/>
    </row>
    <row r="10" spans="1:57" s="169" customFormat="1" ht="45.6" customHeight="1" x14ac:dyDescent="0.2">
      <c r="A10" s="324"/>
      <c r="B10" s="324"/>
      <c r="C10" s="340"/>
      <c r="D10" s="340"/>
      <c r="E10" s="324" t="s">
        <v>21</v>
      </c>
      <c r="F10" s="324" t="s">
        <v>22</v>
      </c>
      <c r="G10" s="324"/>
      <c r="H10" s="324"/>
      <c r="I10" s="324"/>
      <c r="J10" s="324"/>
      <c r="K10" s="324"/>
      <c r="L10" s="324"/>
      <c r="M10" s="324"/>
      <c r="N10" s="324"/>
      <c r="O10" s="342"/>
      <c r="P10" s="335"/>
      <c r="Q10" s="324"/>
      <c r="R10" s="324"/>
      <c r="S10" s="324"/>
      <c r="T10" s="324"/>
      <c r="U10" s="324"/>
      <c r="V10" s="324"/>
      <c r="W10" s="324"/>
      <c r="X10" s="344"/>
      <c r="Y10" s="324"/>
      <c r="Z10" s="325"/>
      <c r="AA10" s="325"/>
      <c r="AB10" s="324"/>
      <c r="AC10" s="344"/>
      <c r="AD10" s="344"/>
      <c r="AE10" s="324"/>
    </row>
    <row r="11" spans="1:57" s="169" customFormat="1" ht="10.9" customHeight="1" x14ac:dyDescent="0.2">
      <c r="A11" s="324"/>
      <c r="B11" s="324"/>
      <c r="C11" s="340"/>
      <c r="D11" s="340"/>
      <c r="E11" s="324"/>
      <c r="F11" s="324"/>
      <c r="G11" s="324"/>
      <c r="H11" s="324"/>
      <c r="I11" s="324"/>
      <c r="J11" s="324"/>
      <c r="K11" s="324"/>
      <c r="L11" s="324"/>
      <c r="M11" s="324" t="s">
        <v>10</v>
      </c>
      <c r="N11" s="324" t="s">
        <v>142</v>
      </c>
      <c r="O11" s="343"/>
      <c r="P11" s="336"/>
      <c r="Q11" s="324"/>
      <c r="R11" s="324"/>
      <c r="S11" s="324"/>
      <c r="T11" s="324"/>
      <c r="U11" s="324"/>
      <c r="V11" s="324"/>
      <c r="W11" s="324"/>
      <c r="X11" s="344"/>
      <c r="Y11" s="324"/>
      <c r="Z11" s="325"/>
      <c r="AA11" s="325"/>
      <c r="AB11" s="324"/>
      <c r="AC11" s="344"/>
      <c r="AD11" s="344"/>
      <c r="AE11" s="324"/>
    </row>
    <row r="12" spans="1:57" s="169" customFormat="1" ht="36" customHeight="1" x14ac:dyDescent="0.2">
      <c r="A12" s="324"/>
      <c r="B12" s="324"/>
      <c r="C12" s="340"/>
      <c r="D12" s="340"/>
      <c r="E12" s="324"/>
      <c r="F12" s="324"/>
      <c r="G12" s="123" t="s">
        <v>1</v>
      </c>
      <c r="H12" s="123" t="s">
        <v>142</v>
      </c>
      <c r="I12" s="123" t="s">
        <v>7</v>
      </c>
      <c r="J12" s="123" t="s">
        <v>142</v>
      </c>
      <c r="K12" s="123" t="s">
        <v>8</v>
      </c>
      <c r="L12" s="123" t="s">
        <v>142</v>
      </c>
      <c r="M12" s="324"/>
      <c r="N12" s="324"/>
      <c r="O12" s="123" t="s">
        <v>1</v>
      </c>
      <c r="P12" s="123" t="s">
        <v>142</v>
      </c>
      <c r="Q12" s="324"/>
      <c r="R12" s="324"/>
      <c r="S12" s="123" t="s">
        <v>1</v>
      </c>
      <c r="T12" s="123" t="s">
        <v>142</v>
      </c>
      <c r="U12" s="324"/>
      <c r="V12" s="324"/>
      <c r="W12" s="324"/>
      <c r="X12" s="344"/>
      <c r="Y12" s="324"/>
      <c r="Z12" s="316"/>
      <c r="AA12" s="316"/>
      <c r="AB12" s="324"/>
      <c r="AC12" s="344"/>
      <c r="AD12" s="344"/>
      <c r="AE12" s="324"/>
    </row>
    <row r="13" spans="1:57" s="66" customFormat="1" ht="54" customHeight="1" x14ac:dyDescent="0.25">
      <c r="A13" s="13">
        <v>1</v>
      </c>
      <c r="B13" s="13">
        <v>2</v>
      </c>
      <c r="C13" s="13">
        <v>3</v>
      </c>
      <c r="D13" s="13">
        <v>4</v>
      </c>
      <c r="E13" s="13">
        <v>5</v>
      </c>
      <c r="F13" s="13" t="s">
        <v>12</v>
      </c>
      <c r="G13" s="14">
        <v>7</v>
      </c>
      <c r="H13" s="14" t="s">
        <v>13</v>
      </c>
      <c r="I13" s="13">
        <v>9</v>
      </c>
      <c r="J13" s="13">
        <v>10</v>
      </c>
      <c r="K13" s="13">
        <v>11</v>
      </c>
      <c r="L13" s="13">
        <v>12</v>
      </c>
      <c r="M13" s="13">
        <v>13</v>
      </c>
      <c r="N13" s="13">
        <v>14</v>
      </c>
      <c r="O13" s="13">
        <v>15</v>
      </c>
      <c r="P13" s="13" t="s">
        <v>154</v>
      </c>
      <c r="Q13" s="13" t="s">
        <v>42</v>
      </c>
      <c r="R13" s="13" t="s">
        <v>120</v>
      </c>
      <c r="S13" s="13">
        <v>19</v>
      </c>
      <c r="T13" s="13">
        <v>20</v>
      </c>
      <c r="U13" s="13" t="s">
        <v>155</v>
      </c>
      <c r="V13" s="15">
        <v>22</v>
      </c>
      <c r="W13" s="14" t="s">
        <v>43</v>
      </c>
      <c r="X13" s="16">
        <v>24</v>
      </c>
      <c r="Y13" s="13" t="s">
        <v>44</v>
      </c>
      <c r="Z13" s="13" t="s">
        <v>283</v>
      </c>
      <c r="AA13" s="13">
        <v>27</v>
      </c>
      <c r="AB13" s="13" t="s">
        <v>380</v>
      </c>
      <c r="AC13" s="16" t="s">
        <v>381</v>
      </c>
      <c r="AD13" s="16" t="s">
        <v>495</v>
      </c>
      <c r="AE13" s="13" t="s">
        <v>382</v>
      </c>
    </row>
    <row r="14" spans="1:57" s="172" customFormat="1" ht="54.75" customHeight="1" x14ac:dyDescent="0.2">
      <c r="A14" s="170"/>
      <c r="B14" s="171" t="s">
        <v>318</v>
      </c>
      <c r="C14" s="170"/>
      <c r="D14" s="170">
        <f>SUM(D15:D17)</f>
        <v>2</v>
      </c>
      <c r="E14" s="245">
        <f t="shared" ref="E14:AE14" si="0">SUM(E15:E17)</f>
        <v>1320</v>
      </c>
      <c r="F14" s="245">
        <f t="shared" si="0"/>
        <v>2640</v>
      </c>
      <c r="G14" s="245"/>
      <c r="H14" s="245">
        <f t="shared" si="0"/>
        <v>528</v>
      </c>
      <c r="I14" s="246">
        <f t="shared" si="0"/>
        <v>0</v>
      </c>
      <c r="J14" s="245">
        <f t="shared" si="0"/>
        <v>0</v>
      </c>
      <c r="K14" s="246">
        <f t="shared" si="0"/>
        <v>0</v>
      </c>
      <c r="L14" s="245">
        <f t="shared" si="0"/>
        <v>0</v>
      </c>
      <c r="M14" s="247">
        <f t="shared" si="0"/>
        <v>0</v>
      </c>
      <c r="N14" s="245">
        <f t="shared" si="0"/>
        <v>0</v>
      </c>
      <c r="O14" s="248"/>
      <c r="P14" s="245">
        <f t="shared" si="0"/>
        <v>0</v>
      </c>
      <c r="Q14" s="245">
        <f t="shared" si="0"/>
        <v>0</v>
      </c>
      <c r="R14" s="245">
        <f t="shared" si="0"/>
        <v>528</v>
      </c>
      <c r="S14" s="245">
        <f t="shared" si="0"/>
        <v>0</v>
      </c>
      <c r="T14" s="245">
        <f t="shared" si="0"/>
        <v>0</v>
      </c>
      <c r="U14" s="253">
        <f t="shared" si="0"/>
        <v>3696</v>
      </c>
      <c r="V14" s="253">
        <f t="shared" si="0"/>
        <v>3696</v>
      </c>
      <c r="W14" s="253">
        <f t="shared" si="0"/>
        <v>3696</v>
      </c>
      <c r="X14" s="253">
        <f t="shared" si="0"/>
        <v>3696</v>
      </c>
      <c r="Y14" s="253">
        <f t="shared" si="0"/>
        <v>2640</v>
      </c>
      <c r="Z14" s="253">
        <f t="shared" si="0"/>
        <v>528</v>
      </c>
      <c r="AA14" s="253">
        <f t="shared" si="0"/>
        <v>0</v>
      </c>
      <c r="AB14" s="253">
        <f t="shared" si="0"/>
        <v>54.9</v>
      </c>
      <c r="AC14" s="253">
        <f t="shared" si="0"/>
        <v>11.8</v>
      </c>
      <c r="AD14" s="253">
        <f t="shared" si="0"/>
        <v>2.5</v>
      </c>
      <c r="AE14" s="253">
        <f t="shared" si="0"/>
        <v>69.2</v>
      </c>
    </row>
    <row r="15" spans="1:57" s="142" customFormat="1" ht="14.45" customHeight="1" x14ac:dyDescent="0.2">
      <c r="A15" s="140">
        <v>1</v>
      </c>
      <c r="B15" s="140" t="s">
        <v>395</v>
      </c>
      <c r="C15" s="140">
        <v>12</v>
      </c>
      <c r="D15" s="140">
        <v>2</v>
      </c>
      <c r="E15" s="165">
        <v>1320</v>
      </c>
      <c r="F15" s="165">
        <f>E15*D15</f>
        <v>2640</v>
      </c>
      <c r="G15" s="249">
        <v>0.2</v>
      </c>
      <c r="H15" s="165">
        <f>F15*G15</f>
        <v>528</v>
      </c>
      <c r="I15" s="250"/>
      <c r="J15" s="165"/>
      <c r="K15" s="250"/>
      <c r="L15" s="165"/>
      <c r="M15" s="251"/>
      <c r="N15" s="165"/>
      <c r="O15" s="249"/>
      <c r="P15" s="165"/>
      <c r="Q15" s="165"/>
      <c r="R15" s="165">
        <f>F15*0.2</f>
        <v>528</v>
      </c>
      <c r="S15" s="252"/>
      <c r="T15" s="165"/>
      <c r="U15" s="254">
        <f>R15+T15+Q15+P15+N15+L15+J15+H15+F15</f>
        <v>3696</v>
      </c>
      <c r="V15" s="254">
        <f>U15</f>
        <v>3696</v>
      </c>
      <c r="W15" s="254">
        <f>ROUND(U15*2-V15,1)</f>
        <v>3696</v>
      </c>
      <c r="X15" s="255">
        <f>IF(W15&gt;6650*D15,6650*D15,W15)</f>
        <v>3696</v>
      </c>
      <c r="Y15" s="254">
        <f>F15</f>
        <v>2640</v>
      </c>
      <c r="Z15" s="254">
        <f>ROUND((Y15+V15)/12,1)</f>
        <v>528</v>
      </c>
      <c r="AA15" s="254"/>
      <c r="AB15" s="254">
        <f>ROUND((U15*12+AA15+Z15+Y15+W15+V15)/1000,1)</f>
        <v>54.9</v>
      </c>
      <c r="AC15" s="254">
        <f>ROUND((AB15-X15/1000)*23%,1)</f>
        <v>11.8</v>
      </c>
      <c r="AD15" s="254">
        <f>ROUND(AB15*4.5%,1)</f>
        <v>2.5</v>
      </c>
      <c r="AE15" s="254">
        <f>SUM(AB15:AD15)</f>
        <v>69.2</v>
      </c>
    </row>
    <row r="16" spans="1:57" s="142" customFormat="1" x14ac:dyDescent="0.2">
      <c r="A16" s="140">
        <v>2</v>
      </c>
      <c r="B16" s="140"/>
      <c r="C16" s="140"/>
      <c r="D16" s="140"/>
      <c r="E16" s="165"/>
      <c r="F16" s="165">
        <f t="shared" ref="F16:F22" si="1">E16*D16</f>
        <v>0</v>
      </c>
      <c r="G16" s="249"/>
      <c r="H16" s="165">
        <f t="shared" ref="H16:H22" si="2">F16*G16</f>
        <v>0</v>
      </c>
      <c r="I16" s="250"/>
      <c r="J16" s="165"/>
      <c r="K16" s="250"/>
      <c r="L16" s="165"/>
      <c r="M16" s="251"/>
      <c r="N16" s="165"/>
      <c r="O16" s="249"/>
      <c r="P16" s="165"/>
      <c r="Q16" s="165"/>
      <c r="R16" s="165">
        <f t="shared" ref="R16:R22" si="3">F16*0.2</f>
        <v>0</v>
      </c>
      <c r="S16" s="252"/>
      <c r="T16" s="165"/>
      <c r="U16" s="254">
        <f t="shared" ref="U16:U22" si="4">R16+T16+Q16+P16+N16+L16+J16+H16+F16</f>
        <v>0</v>
      </c>
      <c r="V16" s="254">
        <f t="shared" ref="V16:V22" si="5">U16</f>
        <v>0</v>
      </c>
      <c r="W16" s="254">
        <f t="shared" ref="W16:W22" si="6">ROUND(U16*2-V16,1)</f>
        <v>0</v>
      </c>
      <c r="X16" s="255">
        <f t="shared" ref="X16:X22" si="7">IF(W16&gt;6650*D16,6650*D16,W16)</f>
        <v>0</v>
      </c>
      <c r="Y16" s="254">
        <f t="shared" ref="Y16:Y22" si="8">F16</f>
        <v>0</v>
      </c>
      <c r="Z16" s="254">
        <f t="shared" ref="Z16:Z22" si="9">ROUND((Y16+V16)/12,1)</f>
        <v>0</v>
      </c>
      <c r="AA16" s="254"/>
      <c r="AB16" s="254">
        <f t="shared" ref="AB16:AB22" si="10">ROUND((U16*12+AA16+Z16+Y16+W16+V16)/1000,1)</f>
        <v>0</v>
      </c>
      <c r="AC16" s="254">
        <f t="shared" ref="AC16:AC22" si="11">ROUND((AB16-X16/1000)*23%,1)</f>
        <v>0</v>
      </c>
      <c r="AD16" s="254">
        <f t="shared" ref="AD16:AD22" si="12">ROUND(AB16*4.5%,1)</f>
        <v>0</v>
      </c>
      <c r="AE16" s="254">
        <f t="shared" ref="AE16:AE22" si="13">SUM(AB16:AD16)</f>
        <v>0</v>
      </c>
    </row>
    <row r="17" spans="1:58" s="142" customFormat="1" ht="14.45" customHeight="1" x14ac:dyDescent="0.2">
      <c r="A17" s="140">
        <v>3</v>
      </c>
      <c r="B17" s="140"/>
      <c r="C17" s="140"/>
      <c r="D17" s="140"/>
      <c r="E17" s="165"/>
      <c r="F17" s="165">
        <f t="shared" si="1"/>
        <v>0</v>
      </c>
      <c r="G17" s="249"/>
      <c r="H17" s="165">
        <f t="shared" si="2"/>
        <v>0</v>
      </c>
      <c r="I17" s="250"/>
      <c r="J17" s="165"/>
      <c r="K17" s="250"/>
      <c r="L17" s="165"/>
      <c r="M17" s="251"/>
      <c r="N17" s="165"/>
      <c r="O17" s="249"/>
      <c r="P17" s="165"/>
      <c r="Q17" s="165"/>
      <c r="R17" s="165">
        <f t="shared" si="3"/>
        <v>0</v>
      </c>
      <c r="S17" s="252"/>
      <c r="T17" s="165"/>
      <c r="U17" s="254">
        <f t="shared" si="4"/>
        <v>0</v>
      </c>
      <c r="V17" s="254">
        <f t="shared" si="5"/>
        <v>0</v>
      </c>
      <c r="W17" s="254">
        <f t="shared" si="6"/>
        <v>0</v>
      </c>
      <c r="X17" s="255">
        <f t="shared" si="7"/>
        <v>0</v>
      </c>
      <c r="Y17" s="254">
        <f t="shared" si="8"/>
        <v>0</v>
      </c>
      <c r="Z17" s="254">
        <f t="shared" si="9"/>
        <v>0</v>
      </c>
      <c r="AA17" s="254"/>
      <c r="AB17" s="254">
        <f t="shared" si="10"/>
        <v>0</v>
      </c>
      <c r="AC17" s="254">
        <f t="shared" si="11"/>
        <v>0</v>
      </c>
      <c r="AD17" s="254">
        <f t="shared" si="12"/>
        <v>0</v>
      </c>
      <c r="AE17" s="254">
        <f t="shared" si="13"/>
        <v>0</v>
      </c>
    </row>
    <row r="18" spans="1:58" s="142" customFormat="1" ht="14.45" customHeight="1" x14ac:dyDescent="0.2">
      <c r="A18" s="140">
        <v>4</v>
      </c>
      <c r="B18" s="140"/>
      <c r="C18" s="140"/>
      <c r="D18" s="140"/>
      <c r="E18" s="165"/>
      <c r="F18" s="165">
        <f t="shared" si="1"/>
        <v>0</v>
      </c>
      <c r="G18" s="249"/>
      <c r="H18" s="165">
        <f t="shared" si="2"/>
        <v>0</v>
      </c>
      <c r="I18" s="250"/>
      <c r="J18" s="165"/>
      <c r="K18" s="250"/>
      <c r="L18" s="165"/>
      <c r="M18" s="251"/>
      <c r="N18" s="165"/>
      <c r="O18" s="249"/>
      <c r="P18" s="165"/>
      <c r="Q18" s="165"/>
      <c r="R18" s="165">
        <f t="shared" si="3"/>
        <v>0</v>
      </c>
      <c r="S18" s="252"/>
      <c r="T18" s="165"/>
      <c r="U18" s="254">
        <f t="shared" si="4"/>
        <v>0</v>
      </c>
      <c r="V18" s="254">
        <f t="shared" si="5"/>
        <v>0</v>
      </c>
      <c r="W18" s="254">
        <f t="shared" si="6"/>
        <v>0</v>
      </c>
      <c r="X18" s="255">
        <f t="shared" si="7"/>
        <v>0</v>
      </c>
      <c r="Y18" s="254">
        <f t="shared" si="8"/>
        <v>0</v>
      </c>
      <c r="Z18" s="254">
        <f t="shared" si="9"/>
        <v>0</v>
      </c>
      <c r="AA18" s="254"/>
      <c r="AB18" s="254">
        <f t="shared" si="10"/>
        <v>0</v>
      </c>
      <c r="AC18" s="254">
        <f t="shared" si="11"/>
        <v>0</v>
      </c>
      <c r="AD18" s="254">
        <f t="shared" si="12"/>
        <v>0</v>
      </c>
      <c r="AE18" s="254">
        <f t="shared" si="13"/>
        <v>0</v>
      </c>
    </row>
    <row r="19" spans="1:58" s="142" customFormat="1" ht="14.45" customHeight="1" x14ac:dyDescent="0.2">
      <c r="A19" s="140"/>
      <c r="B19" s="140"/>
      <c r="C19" s="140"/>
      <c r="D19" s="140"/>
      <c r="E19" s="165"/>
      <c r="F19" s="165">
        <f t="shared" si="1"/>
        <v>0</v>
      </c>
      <c r="G19" s="249"/>
      <c r="H19" s="165">
        <f t="shared" si="2"/>
        <v>0</v>
      </c>
      <c r="I19" s="250"/>
      <c r="J19" s="165"/>
      <c r="K19" s="250"/>
      <c r="L19" s="165"/>
      <c r="M19" s="251"/>
      <c r="N19" s="165"/>
      <c r="O19" s="249"/>
      <c r="P19" s="165"/>
      <c r="Q19" s="165"/>
      <c r="R19" s="165">
        <f t="shared" si="3"/>
        <v>0</v>
      </c>
      <c r="S19" s="252"/>
      <c r="T19" s="165"/>
      <c r="U19" s="254">
        <f t="shared" si="4"/>
        <v>0</v>
      </c>
      <c r="V19" s="254">
        <f t="shared" si="5"/>
        <v>0</v>
      </c>
      <c r="W19" s="254">
        <f t="shared" si="6"/>
        <v>0</v>
      </c>
      <c r="X19" s="255">
        <f t="shared" si="7"/>
        <v>0</v>
      </c>
      <c r="Y19" s="254">
        <f t="shared" si="8"/>
        <v>0</v>
      </c>
      <c r="Z19" s="254">
        <f t="shared" si="9"/>
        <v>0</v>
      </c>
      <c r="AA19" s="254"/>
      <c r="AB19" s="254">
        <f t="shared" si="10"/>
        <v>0</v>
      </c>
      <c r="AC19" s="254">
        <f t="shared" si="11"/>
        <v>0</v>
      </c>
      <c r="AD19" s="254">
        <f t="shared" si="12"/>
        <v>0</v>
      </c>
      <c r="AE19" s="254">
        <f t="shared" si="13"/>
        <v>0</v>
      </c>
    </row>
    <row r="20" spans="1:58" s="142" customFormat="1" x14ac:dyDescent="0.2">
      <c r="A20" s="140"/>
      <c r="B20" s="140"/>
      <c r="C20" s="140"/>
      <c r="D20" s="140"/>
      <c r="E20" s="165"/>
      <c r="F20" s="165">
        <f t="shared" si="1"/>
        <v>0</v>
      </c>
      <c r="G20" s="249"/>
      <c r="H20" s="165">
        <f t="shared" si="2"/>
        <v>0</v>
      </c>
      <c r="I20" s="250"/>
      <c r="J20" s="165"/>
      <c r="K20" s="250"/>
      <c r="L20" s="165"/>
      <c r="M20" s="251"/>
      <c r="N20" s="165"/>
      <c r="O20" s="249"/>
      <c r="P20" s="165"/>
      <c r="Q20" s="165"/>
      <c r="R20" s="165">
        <f t="shared" si="3"/>
        <v>0</v>
      </c>
      <c r="S20" s="252"/>
      <c r="T20" s="165"/>
      <c r="U20" s="254">
        <f t="shared" si="4"/>
        <v>0</v>
      </c>
      <c r="V20" s="254">
        <f t="shared" si="5"/>
        <v>0</v>
      </c>
      <c r="W20" s="254">
        <f t="shared" si="6"/>
        <v>0</v>
      </c>
      <c r="X20" s="255">
        <f t="shared" si="7"/>
        <v>0</v>
      </c>
      <c r="Y20" s="254">
        <f t="shared" si="8"/>
        <v>0</v>
      </c>
      <c r="Z20" s="254">
        <f t="shared" si="9"/>
        <v>0</v>
      </c>
      <c r="AA20" s="254"/>
      <c r="AB20" s="254">
        <f t="shared" si="10"/>
        <v>0</v>
      </c>
      <c r="AC20" s="254">
        <f t="shared" si="11"/>
        <v>0</v>
      </c>
      <c r="AD20" s="254">
        <f t="shared" si="12"/>
        <v>0</v>
      </c>
      <c r="AE20" s="254">
        <f t="shared" si="13"/>
        <v>0</v>
      </c>
    </row>
    <row r="21" spans="1:58" s="142" customFormat="1" x14ac:dyDescent="0.2">
      <c r="A21" s="140"/>
      <c r="B21" s="140"/>
      <c r="C21" s="140"/>
      <c r="D21" s="140"/>
      <c r="E21" s="165"/>
      <c r="F21" s="165">
        <f t="shared" si="1"/>
        <v>0</v>
      </c>
      <c r="G21" s="249"/>
      <c r="H21" s="165">
        <f t="shared" si="2"/>
        <v>0</v>
      </c>
      <c r="I21" s="250"/>
      <c r="J21" s="165"/>
      <c r="K21" s="250"/>
      <c r="L21" s="165"/>
      <c r="M21" s="251"/>
      <c r="N21" s="165"/>
      <c r="O21" s="249"/>
      <c r="P21" s="165"/>
      <c r="Q21" s="165"/>
      <c r="R21" s="165">
        <f t="shared" si="3"/>
        <v>0</v>
      </c>
      <c r="S21" s="252"/>
      <c r="T21" s="165"/>
      <c r="U21" s="254">
        <f t="shared" si="4"/>
        <v>0</v>
      </c>
      <c r="V21" s="254">
        <f t="shared" si="5"/>
        <v>0</v>
      </c>
      <c r="W21" s="254">
        <f t="shared" si="6"/>
        <v>0</v>
      </c>
      <c r="X21" s="255">
        <f t="shared" si="7"/>
        <v>0</v>
      </c>
      <c r="Y21" s="254">
        <f t="shared" si="8"/>
        <v>0</v>
      </c>
      <c r="Z21" s="254">
        <f t="shared" si="9"/>
        <v>0</v>
      </c>
      <c r="AA21" s="254"/>
      <c r="AB21" s="254">
        <f t="shared" si="10"/>
        <v>0</v>
      </c>
      <c r="AC21" s="254">
        <f t="shared" si="11"/>
        <v>0</v>
      </c>
      <c r="AD21" s="254">
        <f t="shared" si="12"/>
        <v>0</v>
      </c>
      <c r="AE21" s="254">
        <f t="shared" si="13"/>
        <v>0</v>
      </c>
    </row>
    <row r="22" spans="1:58" s="142" customFormat="1" x14ac:dyDescent="0.2">
      <c r="A22" s="140"/>
      <c r="B22" s="140"/>
      <c r="C22" s="140"/>
      <c r="D22" s="140"/>
      <c r="E22" s="165"/>
      <c r="F22" s="165">
        <f t="shared" si="1"/>
        <v>0</v>
      </c>
      <c r="G22" s="249"/>
      <c r="H22" s="165">
        <f t="shared" si="2"/>
        <v>0</v>
      </c>
      <c r="I22" s="250"/>
      <c r="J22" s="165"/>
      <c r="K22" s="250"/>
      <c r="L22" s="165"/>
      <c r="M22" s="251"/>
      <c r="N22" s="165"/>
      <c r="O22" s="249"/>
      <c r="P22" s="165"/>
      <c r="Q22" s="165"/>
      <c r="R22" s="165">
        <f t="shared" si="3"/>
        <v>0</v>
      </c>
      <c r="S22" s="252"/>
      <c r="T22" s="165"/>
      <c r="U22" s="254">
        <f t="shared" si="4"/>
        <v>0</v>
      </c>
      <c r="V22" s="254">
        <f t="shared" si="5"/>
        <v>0</v>
      </c>
      <c r="W22" s="254">
        <f t="shared" si="6"/>
        <v>0</v>
      </c>
      <c r="X22" s="255">
        <f t="shared" si="7"/>
        <v>0</v>
      </c>
      <c r="Y22" s="254">
        <f t="shared" si="8"/>
        <v>0</v>
      </c>
      <c r="Z22" s="254">
        <f t="shared" si="9"/>
        <v>0</v>
      </c>
      <c r="AA22" s="254"/>
      <c r="AB22" s="254">
        <f t="shared" si="10"/>
        <v>0</v>
      </c>
      <c r="AC22" s="254">
        <f t="shared" si="11"/>
        <v>0</v>
      </c>
      <c r="AD22" s="254">
        <f t="shared" si="12"/>
        <v>0</v>
      </c>
      <c r="AE22" s="254">
        <f t="shared" si="13"/>
        <v>0</v>
      </c>
    </row>
    <row r="23" spans="1:58" ht="14.25" customHeight="1" x14ac:dyDescent="0.2">
      <c r="A23" s="291" t="s">
        <v>496</v>
      </c>
      <c r="B23" s="292"/>
      <c r="C23" s="292"/>
      <c r="D23" s="292"/>
      <c r="E23" s="292"/>
      <c r="F23" s="292"/>
      <c r="G23" s="292"/>
      <c r="H23" s="292"/>
      <c r="I23" s="292"/>
      <c r="J23" s="292"/>
      <c r="K23" s="292"/>
      <c r="L23" s="292"/>
      <c r="M23" s="292"/>
      <c r="N23" s="292"/>
      <c r="O23" s="292"/>
      <c r="P23" s="292"/>
      <c r="Q23" s="292"/>
      <c r="R23" s="292"/>
      <c r="S23" s="292"/>
      <c r="T23" s="292"/>
      <c r="U23" s="292"/>
      <c r="V23" s="292"/>
      <c r="W23" s="292"/>
      <c r="X23" s="108"/>
      <c r="Y23" s="20"/>
      <c r="Z23" s="108"/>
      <c r="AA23" s="20"/>
      <c r="AB23" s="20"/>
      <c r="AC23" s="109"/>
      <c r="AD23" s="108"/>
      <c r="AE23" s="20"/>
      <c r="AF23" s="106"/>
      <c r="AG23" s="20"/>
      <c r="AH23" s="110"/>
      <c r="AI23" s="111"/>
      <c r="AJ23" s="20"/>
      <c r="AK23" s="106"/>
      <c r="AL23" s="20"/>
      <c r="AM23" s="112"/>
      <c r="AN23" s="113"/>
      <c r="AO23" s="20"/>
      <c r="AP23" s="114"/>
      <c r="AQ23" s="20"/>
      <c r="AR23" s="112"/>
      <c r="AS23" s="124"/>
      <c r="AT23" s="20"/>
      <c r="AU23" s="20"/>
      <c r="AV23" s="20"/>
      <c r="AW23" s="20"/>
    </row>
    <row r="24" spans="1:58" ht="14.25" customHeight="1" x14ac:dyDescent="0.2">
      <c r="A24" s="284" t="s">
        <v>497</v>
      </c>
      <c r="B24" s="284"/>
      <c r="C24" s="284"/>
      <c r="D24" s="284"/>
      <c r="E24" s="284"/>
      <c r="F24" s="284"/>
      <c r="G24" s="284"/>
      <c r="H24" s="284"/>
      <c r="I24" s="284"/>
      <c r="J24" s="284"/>
      <c r="K24" s="284"/>
      <c r="L24" s="284"/>
      <c r="M24" s="284"/>
      <c r="N24" s="284"/>
      <c r="O24" s="284"/>
      <c r="P24" s="284"/>
      <c r="Q24" s="284"/>
      <c r="R24" s="284"/>
      <c r="S24" s="284"/>
      <c r="T24" s="284"/>
      <c r="U24" s="284"/>
      <c r="V24" s="284"/>
      <c r="W24" s="284"/>
      <c r="X24" s="108"/>
      <c r="Y24" s="20"/>
      <c r="Z24" s="108"/>
      <c r="AA24" s="20"/>
      <c r="AB24" s="20"/>
      <c r="AC24" s="109"/>
      <c r="AD24" s="108"/>
      <c r="AE24" s="20"/>
      <c r="AF24" s="106"/>
      <c r="AG24" s="20"/>
      <c r="AH24" s="110"/>
      <c r="AI24" s="111"/>
      <c r="AJ24" s="20"/>
      <c r="AK24" s="106"/>
      <c r="AL24" s="20"/>
      <c r="AM24" s="112"/>
      <c r="AN24" s="113"/>
      <c r="AO24" s="20"/>
      <c r="AP24" s="114"/>
      <c r="AQ24" s="20"/>
      <c r="AR24" s="112"/>
      <c r="AS24" s="124"/>
      <c r="AT24" s="20"/>
      <c r="AU24" s="20"/>
      <c r="AV24" s="20"/>
      <c r="AW24" s="20"/>
    </row>
    <row r="25" spans="1:58" s="65" customFormat="1" ht="9.75" customHeight="1" x14ac:dyDescent="0.25">
      <c r="A25" s="351" t="s">
        <v>165</v>
      </c>
      <c r="B25" s="351"/>
      <c r="C25" s="48"/>
      <c r="D25" s="48"/>
      <c r="E25" s="48"/>
      <c r="F25" s="48"/>
      <c r="G25" s="159"/>
      <c r="H25" s="48"/>
      <c r="I25" s="48"/>
      <c r="J25" s="48"/>
      <c r="K25" s="48"/>
      <c r="L25" s="48"/>
      <c r="M25" s="48"/>
      <c r="N25" s="48"/>
      <c r="O25" s="48"/>
      <c r="P25" s="48"/>
      <c r="Q25" s="48"/>
      <c r="R25" s="48"/>
      <c r="S25" s="161"/>
      <c r="T25" s="48"/>
      <c r="U25" s="48"/>
      <c r="V25" s="49"/>
      <c r="W25" s="49"/>
      <c r="X25" s="49"/>
      <c r="Y25" s="49"/>
      <c r="Z25" s="49"/>
      <c r="AA25" s="49"/>
      <c r="AB25" s="49"/>
      <c r="AC25" s="20"/>
      <c r="AD25" s="20"/>
      <c r="AE25" s="20"/>
      <c r="AF25" s="20"/>
      <c r="AG25" s="20"/>
      <c r="AH25" s="20"/>
      <c r="AI25" s="20"/>
      <c r="AJ25" s="20"/>
      <c r="AK25" s="20"/>
      <c r="AL25" s="20"/>
      <c r="AM25" s="20"/>
      <c r="AN25" s="21"/>
      <c r="AO25" s="21"/>
      <c r="AP25" s="21"/>
      <c r="AQ25" s="21"/>
      <c r="AR25" s="19"/>
      <c r="AS25" s="20"/>
      <c r="AT25" s="20"/>
      <c r="AU25" s="124"/>
      <c r="AV25" s="124"/>
      <c r="AW25" s="124"/>
      <c r="AX25" s="124"/>
      <c r="AY25" s="21"/>
      <c r="AZ25" s="37"/>
      <c r="BA25" s="20"/>
      <c r="BB25" s="20"/>
      <c r="BC25" s="20"/>
      <c r="BD25" s="20"/>
    </row>
    <row r="26" spans="1:58" s="20" customFormat="1" ht="16.5" customHeight="1" x14ac:dyDescent="0.2">
      <c r="A26" s="285" t="s">
        <v>498</v>
      </c>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119"/>
      <c r="Z26" s="119"/>
      <c r="AA26" s="119"/>
      <c r="AB26" s="119"/>
      <c r="AC26" s="119"/>
      <c r="AD26" s="119"/>
      <c r="AE26" s="119"/>
      <c r="AF26" s="119"/>
      <c r="AG26" s="19"/>
      <c r="AH26" s="19"/>
      <c r="AI26" s="19"/>
      <c r="AJ26" s="19"/>
      <c r="AK26" s="19"/>
      <c r="AL26" s="19"/>
      <c r="AM26" s="19"/>
      <c r="AQ26" s="38"/>
      <c r="AS26" s="22"/>
      <c r="AT26" s="23"/>
      <c r="AU26" s="23"/>
      <c r="AV26" s="23"/>
      <c r="AW26" s="23"/>
      <c r="AX26" s="19"/>
      <c r="AY26" s="19"/>
      <c r="AZ26" s="19"/>
      <c r="BA26" s="19"/>
      <c r="BB26" s="19"/>
      <c r="BC26" s="19"/>
      <c r="BD26" s="19"/>
      <c r="BE26" s="19"/>
      <c r="BF26" s="19"/>
    </row>
    <row r="27" spans="1:58" s="20" customFormat="1" ht="30.75" customHeight="1" x14ac:dyDescent="0.2">
      <c r="A27" s="286" t="s">
        <v>408</v>
      </c>
      <c r="B27" s="286"/>
      <c r="C27" s="286"/>
      <c r="D27" s="286"/>
      <c r="E27" s="286"/>
      <c r="F27" s="286"/>
      <c r="G27" s="286"/>
      <c r="H27" s="286"/>
      <c r="I27" s="286"/>
      <c r="J27" s="286"/>
      <c r="K27" s="286"/>
      <c r="L27" s="286"/>
      <c r="M27" s="286"/>
      <c r="N27" s="286"/>
      <c r="O27" s="286"/>
      <c r="P27" s="286"/>
      <c r="Q27" s="286"/>
      <c r="R27" s="286"/>
      <c r="S27" s="286"/>
      <c r="T27" s="286"/>
      <c r="U27" s="286"/>
      <c r="V27" s="286"/>
      <c r="W27" s="286"/>
      <c r="X27" s="286"/>
      <c r="Y27" s="119"/>
      <c r="Z27" s="119"/>
      <c r="AA27" s="119"/>
      <c r="AB27" s="119"/>
      <c r="AC27" s="119"/>
      <c r="AD27" s="119"/>
      <c r="AE27" s="119"/>
      <c r="AF27" s="119"/>
      <c r="AG27" s="19"/>
      <c r="AH27" s="19"/>
      <c r="AI27" s="19"/>
      <c r="AJ27" s="19"/>
      <c r="AK27" s="19"/>
      <c r="AL27" s="19"/>
      <c r="AM27" s="19"/>
      <c r="AQ27" s="38"/>
      <c r="AS27" s="22"/>
      <c r="AT27" s="23"/>
      <c r="AU27" s="23"/>
      <c r="AV27" s="23"/>
      <c r="AW27" s="23"/>
      <c r="AX27" s="19"/>
      <c r="AY27" s="19"/>
      <c r="AZ27" s="19"/>
      <c r="BA27" s="19"/>
      <c r="BB27" s="19"/>
      <c r="BC27" s="19"/>
      <c r="BD27" s="19"/>
      <c r="BE27" s="19"/>
      <c r="BF27" s="19"/>
    </row>
    <row r="28" spans="1:58" ht="28.5" customHeight="1" x14ac:dyDescent="0.2">
      <c r="A28" s="286" t="s">
        <v>491</v>
      </c>
      <c r="B28" s="286"/>
      <c r="C28" s="286"/>
      <c r="D28" s="286"/>
      <c r="E28" s="286"/>
      <c r="F28" s="286"/>
      <c r="G28" s="286"/>
      <c r="H28" s="286"/>
      <c r="I28" s="286"/>
      <c r="J28" s="286"/>
      <c r="K28" s="286"/>
      <c r="L28" s="286"/>
      <c r="M28" s="286"/>
      <c r="N28" s="286"/>
      <c r="O28" s="286"/>
      <c r="P28" s="286"/>
      <c r="Q28" s="286"/>
      <c r="R28" s="286"/>
      <c r="S28" s="286"/>
      <c r="T28" s="286"/>
      <c r="U28" s="286"/>
      <c r="V28" s="286"/>
      <c r="W28" s="286"/>
      <c r="X28" s="286"/>
      <c r="Y28" s="78"/>
      <c r="Z28" s="78"/>
      <c r="AA28" s="78"/>
      <c r="AB28" s="20"/>
      <c r="AC28" s="20"/>
      <c r="AD28" s="20"/>
      <c r="AE28" s="20"/>
    </row>
    <row r="29" spans="1:58" s="77" customFormat="1" x14ac:dyDescent="0.2">
      <c r="A29" s="120"/>
      <c r="B29" s="120"/>
      <c r="C29" s="120"/>
      <c r="D29" s="120"/>
      <c r="E29" s="120"/>
      <c r="F29" s="120"/>
      <c r="G29" s="120"/>
      <c r="H29" s="120"/>
      <c r="I29" s="120"/>
      <c r="J29" s="120"/>
      <c r="K29" s="120"/>
      <c r="L29" s="120"/>
      <c r="M29" s="120"/>
      <c r="N29" s="120"/>
      <c r="O29" s="120"/>
      <c r="P29" s="120"/>
      <c r="Q29" s="120"/>
      <c r="R29" s="120"/>
      <c r="S29" s="120"/>
      <c r="T29" s="120"/>
      <c r="U29" s="120"/>
      <c r="V29" s="120"/>
      <c r="W29" s="120"/>
      <c r="X29" s="120"/>
      <c r="Y29" s="20"/>
      <c r="Z29" s="20"/>
      <c r="AA29" s="20"/>
      <c r="AB29" s="74"/>
      <c r="AC29" s="74"/>
      <c r="AD29" s="74"/>
      <c r="AE29" s="75"/>
    </row>
    <row r="30" spans="1:58" s="181" customFormat="1" ht="17.25" customHeight="1" x14ac:dyDescent="0.25">
      <c r="A30" s="298" t="s">
        <v>542</v>
      </c>
      <c r="B30" s="298"/>
      <c r="C30" s="298"/>
      <c r="D30" s="298"/>
      <c r="E30" s="298"/>
      <c r="F30" s="298"/>
      <c r="G30" s="304"/>
      <c r="H30" s="304"/>
      <c r="I30" s="304"/>
      <c r="J30" s="304"/>
      <c r="K30" s="180"/>
      <c r="L30" s="48"/>
      <c r="M30" s="48"/>
      <c r="N30" s="48"/>
      <c r="O30" s="299"/>
      <c r="P30" s="299"/>
      <c r="Q30" s="299"/>
      <c r="R30" s="179"/>
      <c r="S30" s="179"/>
      <c r="T30" s="179"/>
      <c r="U30" s="179"/>
      <c r="V30" s="179"/>
      <c r="W30" s="179"/>
      <c r="X30" s="179"/>
    </row>
    <row r="31" spans="1:58" s="181" customFormat="1" ht="16.899999999999999" customHeight="1" x14ac:dyDescent="0.25">
      <c r="A31" s="179"/>
      <c r="B31" s="179"/>
      <c r="C31" s="179"/>
      <c r="D31" s="179"/>
      <c r="E31" s="179"/>
      <c r="F31" s="179"/>
      <c r="G31" s="301" t="s">
        <v>538</v>
      </c>
      <c r="H31" s="301"/>
      <c r="I31" s="301"/>
      <c r="J31" s="301"/>
      <c r="K31" s="179"/>
      <c r="L31" s="179"/>
      <c r="M31" s="179"/>
      <c r="N31" s="179"/>
      <c r="O31" s="301" t="s">
        <v>539</v>
      </c>
      <c r="P31" s="301"/>
      <c r="Q31" s="301"/>
      <c r="R31" s="179"/>
      <c r="S31" s="179"/>
      <c r="T31" s="179"/>
      <c r="U31" s="179"/>
      <c r="V31" s="179"/>
      <c r="W31" s="179"/>
      <c r="X31" s="179"/>
    </row>
    <row r="32" spans="1:58" customFormat="1" ht="18.75" customHeight="1" x14ac:dyDescent="0.25">
      <c r="A32" s="298" t="s">
        <v>540</v>
      </c>
      <c r="B32" s="298"/>
      <c r="C32" s="298"/>
      <c r="D32" s="298"/>
      <c r="E32" s="298"/>
      <c r="F32" s="298"/>
      <c r="G32" s="299"/>
      <c r="H32" s="299"/>
      <c r="I32" s="299"/>
      <c r="J32" s="299"/>
      <c r="K32" s="182"/>
      <c r="L32" s="299"/>
      <c r="M32" s="299"/>
      <c r="N32" s="299"/>
      <c r="O32" s="299"/>
      <c r="P32" s="183"/>
      <c r="Q32" s="300"/>
      <c r="R32" s="300"/>
      <c r="S32" s="300"/>
      <c r="T32" s="300"/>
      <c r="U32" s="178"/>
      <c r="V32" s="178"/>
      <c r="W32" s="178"/>
      <c r="X32" s="178"/>
      <c r="Y32" s="178"/>
      <c r="Z32" s="178"/>
    </row>
    <row r="33" spans="1:53" customFormat="1" ht="15" customHeight="1" x14ac:dyDescent="0.25">
      <c r="A33" s="184"/>
      <c r="B33" s="184"/>
      <c r="C33" s="184"/>
      <c r="D33" s="184"/>
      <c r="E33" s="78"/>
      <c r="F33" s="78"/>
      <c r="G33" s="301" t="s">
        <v>538</v>
      </c>
      <c r="H33" s="301"/>
      <c r="I33" s="301"/>
      <c r="J33" s="301"/>
      <c r="K33" s="185"/>
      <c r="L33" s="302" t="s">
        <v>304</v>
      </c>
      <c r="M33" s="302"/>
      <c r="N33" s="302"/>
      <c r="O33" s="302"/>
      <c r="P33" s="138"/>
      <c r="Q33" s="303" t="s">
        <v>541</v>
      </c>
      <c r="R33" s="303"/>
      <c r="S33" s="303"/>
      <c r="T33" s="303"/>
      <c r="U33" s="178"/>
      <c r="V33" s="178"/>
      <c r="W33" s="178"/>
      <c r="X33" s="178"/>
      <c r="Y33" s="178"/>
      <c r="Z33" s="178"/>
    </row>
    <row r="34" spans="1:53" s="8" customFormat="1" ht="15"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0"/>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row>
    <row r="35" spans="1:53" x14ac:dyDescent="0.2">
      <c r="A35" s="20"/>
      <c r="B35" s="20"/>
      <c r="C35" s="20"/>
      <c r="D35" s="39"/>
      <c r="E35" s="40"/>
      <c r="F35" s="40"/>
      <c r="G35" s="40"/>
      <c r="H35" s="40"/>
      <c r="I35" s="40"/>
      <c r="J35" s="40"/>
      <c r="K35" s="40"/>
      <c r="L35" s="40"/>
      <c r="M35" s="40"/>
      <c r="N35" s="40"/>
      <c r="O35" s="40"/>
      <c r="P35" s="40"/>
      <c r="Q35" s="40"/>
      <c r="R35" s="40"/>
      <c r="S35" s="40"/>
      <c r="T35" s="40"/>
      <c r="U35" s="20"/>
      <c r="V35" s="20"/>
      <c r="W35" s="20"/>
      <c r="X35" s="20"/>
      <c r="Y35" s="20"/>
      <c r="Z35" s="20"/>
      <c r="AA35" s="20"/>
    </row>
  </sheetData>
  <mergeCells count="53">
    <mergeCell ref="A2:AE2"/>
    <mergeCell ref="A1:AE1"/>
    <mergeCell ref="A7:A12"/>
    <mergeCell ref="B7:B12"/>
    <mergeCell ref="C7:C12"/>
    <mergeCell ref="D7:D12"/>
    <mergeCell ref="E7:F9"/>
    <mergeCell ref="G7:H11"/>
    <mergeCell ref="I7:J11"/>
    <mergeCell ref="V7:V12"/>
    <mergeCell ref="W7:X7"/>
    <mergeCell ref="Y7:Y12"/>
    <mergeCell ref="AB7:AB12"/>
    <mergeCell ref="AC7:AC12"/>
    <mergeCell ref="E10:E12"/>
    <mergeCell ref="F10:F12"/>
    <mergeCell ref="AE7:AE12"/>
    <mergeCell ref="W8:W12"/>
    <mergeCell ref="X8:X12"/>
    <mergeCell ref="Z7:Z12"/>
    <mergeCell ref="AA7:AA12"/>
    <mergeCell ref="A26:X26"/>
    <mergeCell ref="A27:X27"/>
    <mergeCell ref="AD7:AD12"/>
    <mergeCell ref="A28:X28"/>
    <mergeCell ref="Q7:Q12"/>
    <mergeCell ref="R7:R12"/>
    <mergeCell ref="M11:M12"/>
    <mergeCell ref="S7:T11"/>
    <mergeCell ref="O7:P11"/>
    <mergeCell ref="A23:W23"/>
    <mergeCell ref="A24:W24"/>
    <mergeCell ref="A25:B25"/>
    <mergeCell ref="U7:U12"/>
    <mergeCell ref="A30:F30"/>
    <mergeCell ref="G30:J30"/>
    <mergeCell ref="O30:Q30"/>
    <mergeCell ref="G33:J33"/>
    <mergeCell ref="L33:O33"/>
    <mergeCell ref="Q33:T33"/>
    <mergeCell ref="G31:J31"/>
    <mergeCell ref="O31:Q31"/>
    <mergeCell ref="A32:F32"/>
    <mergeCell ref="G32:J32"/>
    <mergeCell ref="L32:O32"/>
    <mergeCell ref="Q32:T32"/>
    <mergeCell ref="B4:C5"/>
    <mergeCell ref="E4:I4"/>
    <mergeCell ref="K4:K5"/>
    <mergeCell ref="E5:I5"/>
    <mergeCell ref="N11:N12"/>
    <mergeCell ref="K7:L11"/>
    <mergeCell ref="M7:N10"/>
  </mergeCells>
  <dataValidations count="1">
    <dataValidation type="custom" allowBlank="1" showInputMessage="1" showErrorMessage="1" error="Cuantumul plăţilor cu caracter stimulator din contul veniturilor colectate plătite lunar unui angajat nu va depăşi salariul lui de funcţie, ţinîndu-se cont de sporul pentru vechime în muncă." sqref="AA15:AA22">
      <formula1>AA15&lt;=(F15+H15)*12</formula1>
    </dataValidation>
  </dataValidations>
  <printOptions horizontalCentered="1"/>
  <pageMargins left="0.31496062992126" right="0.31496062992126" top="0.66929133858267698" bottom="0.66929133858267698" header="0.31496062992126" footer="0.31496062992126"/>
  <pageSetup paperSize="8" scale="70" fitToHeight="80" orientation="landscape" r:id="rId1"/>
  <headerFooter>
    <oddHeader>&amp;RTabelul nr.8</oddHeader>
    <oddFooter>&amp;R&amp;"-,полужирный"&amp;8&amp;P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BN35"/>
  <sheetViews>
    <sheetView showZeros="0" view="pageBreakPreview" zoomScale="70" zoomScaleNormal="71" zoomScaleSheetLayoutView="70" workbookViewId="0">
      <pane xSplit="2" ySplit="13" topLeftCell="C14" activePane="bottomRight" state="frozen"/>
      <selection pane="topRight" activeCell="C1" sqref="C1"/>
      <selection pane="bottomLeft" activeCell="A14" sqref="A14"/>
      <selection pane="bottomRight" activeCell="S15" sqref="S15"/>
    </sheetView>
  </sheetViews>
  <sheetFormatPr defaultColWidth="8.85546875" defaultRowHeight="12.75" x14ac:dyDescent="0.2"/>
  <cols>
    <col min="1" max="1" width="5" style="21" customWidth="1"/>
    <col min="2" max="2" width="18.140625" style="21" customWidth="1"/>
    <col min="3" max="3" width="4.42578125" style="21" customWidth="1"/>
    <col min="4" max="4" width="4.85546875" style="21" customWidth="1"/>
    <col min="5" max="5" width="8.28515625" style="21" customWidth="1"/>
    <col min="6" max="6" width="9.5703125" style="21" customWidth="1"/>
    <col min="7" max="7" width="11.7109375" style="21" customWidth="1"/>
    <col min="8" max="8" width="7.7109375" style="21" customWidth="1"/>
    <col min="9" max="9" width="5.7109375" style="21" customWidth="1"/>
    <col min="10" max="10" width="7.7109375" style="21" customWidth="1"/>
    <col min="11" max="11" width="6.7109375" style="21" customWidth="1"/>
    <col min="12" max="12" width="6.5703125" style="21" customWidth="1"/>
    <col min="13" max="13" width="6.28515625" style="21" customWidth="1"/>
    <col min="14" max="14" width="7.85546875" style="21" customWidth="1"/>
    <col min="15" max="15" width="10.42578125" style="21" customWidth="1"/>
    <col min="16" max="16" width="7.140625" style="21" customWidth="1"/>
    <col min="17" max="17" width="6.28515625" style="21" customWidth="1"/>
    <col min="18" max="18" width="7.28515625" style="21" customWidth="1"/>
    <col min="19" max="19" width="10.7109375" style="21" customWidth="1"/>
    <col min="20" max="20" width="11.28515625" style="21" customWidth="1"/>
    <col min="21" max="21" width="11.140625" style="21" customWidth="1"/>
    <col min="22" max="22" width="6.7109375" style="21" customWidth="1"/>
    <col min="23" max="23" width="7.42578125" style="21" customWidth="1"/>
    <col min="24" max="24" width="5.85546875" style="21" customWidth="1"/>
    <col min="25" max="25" width="9.28515625" style="21" customWidth="1"/>
    <col min="26" max="26" width="5.85546875" style="21" customWidth="1"/>
    <col min="27" max="27" width="7.85546875" style="21" customWidth="1"/>
    <col min="28" max="28" width="13.28515625" style="21" customWidth="1"/>
    <col min="29" max="29" width="9.7109375" style="21" customWidth="1"/>
    <col min="30" max="30" width="6.7109375" style="21" customWidth="1"/>
    <col min="31" max="31" width="7.28515625" style="21" customWidth="1"/>
    <col min="32" max="32" width="6.28515625" style="21" customWidth="1"/>
    <col min="33" max="33" width="8.42578125" style="21" customWidth="1"/>
    <col min="34" max="35" width="8.5703125" style="21" customWidth="1"/>
    <col min="36" max="36" width="10.5703125" style="21" customWidth="1"/>
    <col min="37" max="37" width="7.85546875" style="21" customWidth="1"/>
    <col min="38" max="38" width="7.28515625" style="21" customWidth="1"/>
    <col min="39" max="40" width="11.28515625" style="21" customWidth="1"/>
    <col min="41" max="41" width="10.5703125" style="21" customWidth="1"/>
    <col min="42" max="42" width="9.85546875" style="21" customWidth="1"/>
    <col min="43" max="16384" width="8.85546875" style="21"/>
  </cols>
  <sheetData>
    <row r="1" spans="1:64" s="25" customFormat="1" ht="15.75" customHeight="1" x14ac:dyDescent="0.25">
      <c r="A1" s="356" t="s">
        <v>473</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42"/>
      <c r="AD1" s="42"/>
      <c r="AE1" s="42"/>
      <c r="AF1" s="42"/>
      <c r="AG1" s="42"/>
      <c r="AH1" s="42"/>
      <c r="AI1" s="42"/>
      <c r="AJ1" s="42"/>
      <c r="AK1" s="42"/>
      <c r="AL1" s="42"/>
      <c r="AM1" s="42"/>
      <c r="AN1" s="42"/>
      <c r="AO1" s="42"/>
      <c r="AP1" s="42"/>
      <c r="AQ1" s="42"/>
      <c r="AR1" s="42"/>
      <c r="AS1" s="42"/>
      <c r="AT1" s="42"/>
      <c r="AU1" s="42"/>
      <c r="AV1" s="42"/>
      <c r="AW1" s="42"/>
      <c r="AX1" s="27"/>
      <c r="AY1" s="26"/>
      <c r="AZ1" s="26"/>
      <c r="BA1" s="26"/>
      <c r="BB1" s="26"/>
      <c r="BC1" s="26"/>
      <c r="BD1" s="26"/>
      <c r="BE1" s="26"/>
      <c r="BF1" s="26"/>
    </row>
    <row r="2" spans="1:64" ht="15" customHeight="1" x14ac:dyDescent="0.2">
      <c r="A2" s="357" t="s">
        <v>129</v>
      </c>
      <c r="B2" s="357"/>
      <c r="C2" s="357"/>
      <c r="D2" s="357"/>
      <c r="E2" s="357"/>
      <c r="F2" s="357"/>
      <c r="G2" s="357"/>
      <c r="H2" s="357"/>
      <c r="I2" s="357"/>
      <c r="J2" s="357"/>
      <c r="K2" s="357"/>
      <c r="L2" s="357"/>
      <c r="M2" s="357"/>
      <c r="N2" s="357"/>
      <c r="O2" s="357"/>
      <c r="P2" s="357"/>
      <c r="Q2" s="357"/>
      <c r="R2" s="357"/>
      <c r="S2" s="357"/>
      <c r="T2" s="357"/>
      <c r="U2" s="357"/>
      <c r="V2" s="357"/>
      <c r="W2" s="357"/>
      <c r="X2" s="357"/>
      <c r="Y2" s="357"/>
      <c r="Z2" s="54"/>
      <c r="AA2" s="54"/>
      <c r="AB2" s="54"/>
      <c r="AC2" s="54"/>
      <c r="AD2" s="54"/>
      <c r="AE2" s="54"/>
      <c r="AF2" s="54"/>
      <c r="AG2" s="54"/>
      <c r="AH2" s="54"/>
      <c r="AI2" s="54"/>
      <c r="AJ2" s="54"/>
      <c r="AK2" s="54"/>
      <c r="AL2" s="54"/>
      <c r="AM2" s="54"/>
      <c r="AN2" s="54"/>
      <c r="AO2" s="54"/>
      <c r="AP2" s="54"/>
      <c r="AQ2" s="55"/>
      <c r="AR2" s="55"/>
      <c r="AS2" s="55"/>
      <c r="AT2" s="55"/>
      <c r="AU2" s="55"/>
      <c r="AV2" s="55"/>
      <c r="AW2" s="20"/>
      <c r="AX2" s="20"/>
      <c r="AY2" s="20"/>
      <c r="AZ2" s="20"/>
      <c r="BA2" s="20"/>
      <c r="BB2" s="20"/>
      <c r="BC2" s="20"/>
      <c r="BD2" s="20"/>
      <c r="BE2" s="20"/>
      <c r="BF2" s="20"/>
      <c r="BG2" s="20"/>
      <c r="BH2" s="20"/>
      <c r="BI2" s="20"/>
      <c r="BJ2" s="20"/>
      <c r="BK2" s="20"/>
      <c r="BL2" s="20"/>
    </row>
    <row r="3" spans="1:64" ht="15" customHeight="1" x14ac:dyDescent="0.2">
      <c r="A3" s="125"/>
      <c r="B3" s="125"/>
      <c r="C3" s="125"/>
      <c r="D3" s="125"/>
      <c r="E3" s="125"/>
      <c r="F3" s="125"/>
      <c r="G3" s="125"/>
      <c r="H3" s="125"/>
      <c r="I3" s="125"/>
      <c r="J3" s="125"/>
      <c r="K3" s="125"/>
      <c r="L3" s="125"/>
      <c r="M3" s="125"/>
      <c r="N3" s="125"/>
      <c r="O3" s="125"/>
      <c r="P3" s="125"/>
      <c r="Q3" s="125"/>
      <c r="R3" s="125"/>
      <c r="S3" s="125"/>
      <c r="T3" s="125"/>
      <c r="U3" s="125"/>
      <c r="V3" s="125"/>
      <c r="W3" s="125"/>
      <c r="X3" s="125"/>
      <c r="Y3" s="125"/>
      <c r="Z3" s="54"/>
      <c r="AA3" s="54"/>
      <c r="AB3" s="54"/>
      <c r="AC3" s="54"/>
      <c r="AD3" s="54"/>
      <c r="AE3" s="54"/>
      <c r="AF3" s="54"/>
      <c r="AG3" s="54"/>
      <c r="AH3" s="54"/>
      <c r="AI3" s="54"/>
      <c r="AJ3" s="54"/>
      <c r="AK3" s="54"/>
      <c r="AL3" s="54"/>
      <c r="AM3" s="54"/>
      <c r="AN3" s="54"/>
      <c r="AO3" s="54"/>
      <c r="AP3" s="54"/>
      <c r="AQ3" s="55"/>
      <c r="AR3" s="55"/>
      <c r="AS3" s="55"/>
      <c r="AT3" s="55"/>
      <c r="AU3" s="55"/>
      <c r="AV3" s="55"/>
      <c r="AW3" s="20"/>
      <c r="AX3" s="20"/>
      <c r="AY3" s="20"/>
      <c r="AZ3" s="20"/>
      <c r="BA3" s="20"/>
      <c r="BB3" s="20"/>
      <c r="BC3" s="20"/>
      <c r="BD3" s="20"/>
      <c r="BE3" s="20"/>
      <c r="BF3" s="20"/>
      <c r="BG3" s="20"/>
      <c r="BH3" s="20"/>
      <c r="BI3" s="20"/>
      <c r="BJ3" s="20"/>
      <c r="BK3" s="20"/>
      <c r="BL3" s="20"/>
    </row>
    <row r="4" spans="1:64" ht="15" customHeight="1" x14ac:dyDescent="0.2">
      <c r="A4" s="125"/>
      <c r="B4" s="350" t="s">
        <v>307</v>
      </c>
      <c r="C4" s="350"/>
      <c r="D4" s="79"/>
      <c r="E4" s="289" t="s">
        <v>308</v>
      </c>
      <c r="F4" s="289"/>
      <c r="G4" s="289"/>
      <c r="H4" s="289"/>
      <c r="I4" s="289"/>
      <c r="J4" s="75"/>
      <c r="K4" s="296" t="s">
        <v>164</v>
      </c>
      <c r="L4" s="80" t="s">
        <v>309</v>
      </c>
      <c r="M4" s="80" t="s">
        <v>310</v>
      </c>
      <c r="N4" s="80" t="s">
        <v>311</v>
      </c>
      <c r="O4" s="80" t="s">
        <v>312</v>
      </c>
      <c r="P4" s="80" t="s">
        <v>313</v>
      </c>
      <c r="Q4" s="125"/>
      <c r="R4" s="125"/>
      <c r="S4" s="125"/>
      <c r="T4" s="125"/>
      <c r="U4" s="125"/>
      <c r="V4" s="125"/>
      <c r="W4" s="125"/>
      <c r="X4" s="125"/>
      <c r="Y4" s="125"/>
      <c r="Z4" s="54"/>
      <c r="AA4" s="54"/>
      <c r="AB4" s="54"/>
      <c r="AC4" s="54"/>
      <c r="AD4" s="54"/>
      <c r="AE4" s="54"/>
      <c r="AF4" s="54"/>
      <c r="AG4" s="54"/>
      <c r="AH4" s="54"/>
      <c r="AI4" s="54"/>
      <c r="AJ4" s="54"/>
      <c r="AK4" s="54"/>
      <c r="AL4" s="54"/>
      <c r="AM4" s="54"/>
      <c r="AN4" s="54"/>
      <c r="AO4" s="54"/>
      <c r="AP4" s="54"/>
      <c r="AQ4" s="55"/>
      <c r="AR4" s="55"/>
      <c r="AS4" s="55"/>
      <c r="AT4" s="55"/>
      <c r="AU4" s="55"/>
      <c r="AV4" s="55"/>
      <c r="AW4" s="20"/>
      <c r="AX4" s="20"/>
      <c r="AY4" s="20"/>
      <c r="AZ4" s="20"/>
      <c r="BA4" s="20"/>
      <c r="BB4" s="20"/>
      <c r="BC4" s="20"/>
      <c r="BD4" s="20"/>
      <c r="BE4" s="20"/>
      <c r="BF4" s="20"/>
      <c r="BG4" s="20"/>
      <c r="BH4" s="20"/>
      <c r="BI4" s="20"/>
      <c r="BJ4" s="20"/>
      <c r="BK4" s="20"/>
      <c r="BL4" s="20"/>
    </row>
    <row r="5" spans="1:64" x14ac:dyDescent="0.2">
      <c r="B5" s="350"/>
      <c r="C5" s="350"/>
      <c r="D5" s="32"/>
      <c r="E5" s="290" t="s">
        <v>314</v>
      </c>
      <c r="F5" s="290"/>
      <c r="G5" s="290"/>
      <c r="H5" s="290"/>
      <c r="I5" s="290"/>
      <c r="J5" s="32"/>
      <c r="K5" s="296"/>
      <c r="L5" s="81"/>
      <c r="M5" s="81"/>
      <c r="N5" s="81"/>
      <c r="O5" s="81"/>
      <c r="P5" s="81"/>
      <c r="S5" s="29"/>
      <c r="T5" s="30"/>
      <c r="X5" s="20"/>
      <c r="Y5" s="20"/>
      <c r="Z5" s="20"/>
      <c r="AA5" s="20"/>
      <c r="AB5" s="20"/>
      <c r="AC5" s="20"/>
      <c r="AD5" s="20"/>
      <c r="AE5" s="20"/>
      <c r="AF5" s="20"/>
      <c r="AG5" s="20"/>
      <c r="AH5" s="20"/>
      <c r="AI5" s="20"/>
      <c r="AJ5" s="20"/>
      <c r="AK5" s="19"/>
      <c r="AL5" s="20"/>
      <c r="AM5" s="19"/>
      <c r="AN5" s="20"/>
      <c r="AO5" s="20"/>
      <c r="AP5" s="20"/>
      <c r="AQ5" s="19"/>
      <c r="AR5" s="19"/>
      <c r="AS5" s="19"/>
      <c r="AT5" s="20"/>
      <c r="AU5" s="19"/>
      <c r="AV5" s="122"/>
      <c r="AW5" s="20"/>
    </row>
    <row r="6" spans="1:64" x14ac:dyDescent="0.2">
      <c r="A6" s="32"/>
      <c r="B6" s="32"/>
      <c r="C6" s="32"/>
      <c r="D6" s="32"/>
      <c r="E6" s="32"/>
      <c r="F6" s="32"/>
      <c r="G6" s="32"/>
      <c r="H6" s="32"/>
      <c r="I6" s="32"/>
      <c r="J6" s="34"/>
      <c r="K6" s="34"/>
      <c r="L6" s="34"/>
      <c r="M6" s="34"/>
      <c r="N6" s="34"/>
      <c r="O6" s="32"/>
      <c r="P6" s="32"/>
      <c r="Q6" s="34"/>
      <c r="R6" s="34"/>
      <c r="S6" s="34"/>
      <c r="T6" s="34"/>
      <c r="U6" s="34"/>
      <c r="V6" s="34"/>
      <c r="W6" s="34"/>
      <c r="X6" s="34"/>
      <c r="Y6" s="34"/>
      <c r="Z6" s="34"/>
      <c r="AA6" s="34"/>
      <c r="AB6" s="34"/>
      <c r="AC6" s="34"/>
      <c r="AD6" s="34"/>
      <c r="AE6" s="34"/>
      <c r="AF6" s="34"/>
      <c r="AG6" s="34"/>
      <c r="AH6" s="34"/>
      <c r="AI6" s="34"/>
      <c r="AJ6" s="34"/>
      <c r="AK6" s="32"/>
      <c r="AN6" s="32"/>
      <c r="AO6" s="32"/>
      <c r="AP6" s="32"/>
      <c r="AQ6" s="32"/>
      <c r="AR6" s="32"/>
      <c r="AS6" s="32"/>
      <c r="AT6" s="32"/>
      <c r="AU6" s="32"/>
      <c r="AV6" s="32"/>
      <c r="AW6" s="32"/>
    </row>
    <row r="7" spans="1:64" ht="61.9" customHeight="1" x14ac:dyDescent="0.2">
      <c r="A7" s="293" t="s">
        <v>2</v>
      </c>
      <c r="B7" s="293" t="s">
        <v>88</v>
      </c>
      <c r="C7" s="305" t="s">
        <v>0</v>
      </c>
      <c r="D7" s="305" t="s">
        <v>20</v>
      </c>
      <c r="E7" s="293" t="s">
        <v>466</v>
      </c>
      <c r="F7" s="293"/>
      <c r="G7" s="317" t="s">
        <v>207</v>
      </c>
      <c r="H7" s="293" t="s">
        <v>474</v>
      </c>
      <c r="I7" s="293" t="s">
        <v>174</v>
      </c>
      <c r="J7" s="293"/>
      <c r="K7" s="293" t="s">
        <v>176</v>
      </c>
      <c r="L7" s="293"/>
      <c r="M7" s="293" t="s">
        <v>177</v>
      </c>
      <c r="N7" s="293"/>
      <c r="O7" s="293" t="s">
        <v>195</v>
      </c>
      <c r="P7" s="293"/>
      <c r="Q7" s="293" t="s">
        <v>179</v>
      </c>
      <c r="R7" s="293"/>
      <c r="S7" s="293" t="s">
        <v>180</v>
      </c>
      <c r="T7" s="317" t="s">
        <v>209</v>
      </c>
      <c r="U7" s="317" t="s">
        <v>217</v>
      </c>
      <c r="V7" s="293" t="s">
        <v>210</v>
      </c>
      <c r="W7" s="293"/>
      <c r="X7" s="293" t="s">
        <v>211</v>
      </c>
      <c r="Y7" s="293"/>
      <c r="Z7" s="309" t="s">
        <v>212</v>
      </c>
      <c r="AA7" s="310"/>
      <c r="AB7" s="317" t="s">
        <v>213</v>
      </c>
      <c r="AC7" s="293" t="s">
        <v>214</v>
      </c>
      <c r="AD7" s="324" t="s">
        <v>346</v>
      </c>
      <c r="AE7" s="324"/>
      <c r="AF7" s="341" t="s">
        <v>197</v>
      </c>
      <c r="AG7" s="334"/>
      <c r="AH7" s="324" t="s">
        <v>475</v>
      </c>
      <c r="AI7" s="324"/>
      <c r="AJ7" s="315" t="s">
        <v>476</v>
      </c>
      <c r="AK7" s="293" t="s">
        <v>467</v>
      </c>
      <c r="AL7" s="293"/>
      <c r="AM7" s="293" t="s">
        <v>184</v>
      </c>
      <c r="AN7" s="293" t="s">
        <v>215</v>
      </c>
      <c r="AO7" s="293" t="s">
        <v>216</v>
      </c>
      <c r="AP7" s="293"/>
      <c r="AQ7" s="293" t="s">
        <v>187</v>
      </c>
      <c r="AR7" s="317" t="s">
        <v>303</v>
      </c>
      <c r="AS7" s="317" t="s">
        <v>372</v>
      </c>
      <c r="AT7" s="293" t="s">
        <v>188</v>
      </c>
      <c r="AU7" s="320" t="s">
        <v>166</v>
      </c>
      <c r="AV7" s="320" t="s">
        <v>167</v>
      </c>
      <c r="AW7" s="293" t="s">
        <v>332</v>
      </c>
    </row>
    <row r="8" spans="1:64" ht="21.6" customHeight="1" x14ac:dyDescent="0.2">
      <c r="A8" s="293"/>
      <c r="B8" s="293"/>
      <c r="C8" s="305"/>
      <c r="D8" s="305"/>
      <c r="E8" s="293"/>
      <c r="F8" s="293"/>
      <c r="G8" s="319"/>
      <c r="H8" s="293"/>
      <c r="I8" s="293"/>
      <c r="J8" s="293"/>
      <c r="K8" s="293"/>
      <c r="L8" s="293"/>
      <c r="M8" s="293"/>
      <c r="N8" s="293"/>
      <c r="O8" s="293"/>
      <c r="P8" s="293"/>
      <c r="Q8" s="293"/>
      <c r="R8" s="293"/>
      <c r="S8" s="293"/>
      <c r="T8" s="319"/>
      <c r="U8" s="319"/>
      <c r="V8" s="293"/>
      <c r="W8" s="293"/>
      <c r="X8" s="293"/>
      <c r="Y8" s="293"/>
      <c r="Z8" s="311"/>
      <c r="AA8" s="312"/>
      <c r="AB8" s="319"/>
      <c r="AC8" s="293"/>
      <c r="AD8" s="324"/>
      <c r="AE8" s="324"/>
      <c r="AF8" s="342"/>
      <c r="AG8" s="335"/>
      <c r="AH8" s="324"/>
      <c r="AI8" s="324"/>
      <c r="AJ8" s="325"/>
      <c r="AK8" s="293"/>
      <c r="AL8" s="293"/>
      <c r="AM8" s="293"/>
      <c r="AN8" s="293"/>
      <c r="AO8" s="293" t="s">
        <v>15</v>
      </c>
      <c r="AP8" s="320" t="s">
        <v>306</v>
      </c>
      <c r="AQ8" s="293"/>
      <c r="AR8" s="319"/>
      <c r="AS8" s="319"/>
      <c r="AT8" s="293"/>
      <c r="AU8" s="320"/>
      <c r="AV8" s="320"/>
      <c r="AW8" s="293"/>
    </row>
    <row r="9" spans="1:64" ht="25.15" customHeight="1" x14ac:dyDescent="0.2">
      <c r="A9" s="293"/>
      <c r="B9" s="293"/>
      <c r="C9" s="305"/>
      <c r="D9" s="305"/>
      <c r="E9" s="293"/>
      <c r="F9" s="293"/>
      <c r="G9" s="319"/>
      <c r="H9" s="293"/>
      <c r="I9" s="293"/>
      <c r="J9" s="293"/>
      <c r="K9" s="293"/>
      <c r="L9" s="293"/>
      <c r="M9" s="293"/>
      <c r="N9" s="293"/>
      <c r="O9" s="293"/>
      <c r="P9" s="293"/>
      <c r="Q9" s="293"/>
      <c r="R9" s="293"/>
      <c r="S9" s="293"/>
      <c r="T9" s="319"/>
      <c r="U9" s="319"/>
      <c r="V9" s="293"/>
      <c r="W9" s="293"/>
      <c r="X9" s="293"/>
      <c r="Y9" s="293"/>
      <c r="Z9" s="311"/>
      <c r="AA9" s="312"/>
      <c r="AB9" s="319"/>
      <c r="AC9" s="293"/>
      <c r="AD9" s="324"/>
      <c r="AE9" s="324"/>
      <c r="AF9" s="342"/>
      <c r="AG9" s="335"/>
      <c r="AH9" s="324"/>
      <c r="AI9" s="324"/>
      <c r="AJ9" s="325"/>
      <c r="AK9" s="293"/>
      <c r="AL9" s="293"/>
      <c r="AM9" s="293"/>
      <c r="AN9" s="293"/>
      <c r="AO9" s="293"/>
      <c r="AP9" s="320"/>
      <c r="AQ9" s="293"/>
      <c r="AR9" s="319"/>
      <c r="AS9" s="319"/>
      <c r="AT9" s="293"/>
      <c r="AU9" s="320"/>
      <c r="AV9" s="320"/>
      <c r="AW9" s="293"/>
    </row>
    <row r="10" spans="1:64" ht="30.75" customHeight="1" x14ac:dyDescent="0.2">
      <c r="A10" s="293"/>
      <c r="B10" s="293"/>
      <c r="C10" s="305"/>
      <c r="D10" s="305"/>
      <c r="E10" s="293" t="s">
        <v>21</v>
      </c>
      <c r="F10" s="293" t="s">
        <v>22</v>
      </c>
      <c r="G10" s="319"/>
      <c r="H10" s="293"/>
      <c r="I10" s="293"/>
      <c r="J10" s="293"/>
      <c r="K10" s="293"/>
      <c r="L10" s="293"/>
      <c r="M10" s="293"/>
      <c r="N10" s="293"/>
      <c r="O10" s="293"/>
      <c r="P10" s="293"/>
      <c r="Q10" s="293"/>
      <c r="R10" s="293"/>
      <c r="S10" s="293"/>
      <c r="T10" s="319"/>
      <c r="U10" s="319"/>
      <c r="V10" s="293"/>
      <c r="W10" s="293"/>
      <c r="X10" s="293"/>
      <c r="Y10" s="293"/>
      <c r="Z10" s="311"/>
      <c r="AA10" s="312"/>
      <c r="AB10" s="319"/>
      <c r="AC10" s="293"/>
      <c r="AD10" s="324"/>
      <c r="AE10" s="324"/>
      <c r="AF10" s="342"/>
      <c r="AG10" s="335"/>
      <c r="AH10" s="315" t="s">
        <v>67</v>
      </c>
      <c r="AI10" s="315" t="s">
        <v>142</v>
      </c>
      <c r="AJ10" s="325"/>
      <c r="AK10" s="293"/>
      <c r="AL10" s="293"/>
      <c r="AM10" s="293"/>
      <c r="AN10" s="293"/>
      <c r="AO10" s="293"/>
      <c r="AP10" s="320"/>
      <c r="AQ10" s="293"/>
      <c r="AR10" s="319"/>
      <c r="AS10" s="319"/>
      <c r="AT10" s="293"/>
      <c r="AU10" s="320"/>
      <c r="AV10" s="320"/>
      <c r="AW10" s="293"/>
    </row>
    <row r="11" spans="1:64" ht="30.75" customHeight="1" x14ac:dyDescent="0.2">
      <c r="A11" s="293"/>
      <c r="B11" s="293"/>
      <c r="C11" s="305"/>
      <c r="D11" s="305"/>
      <c r="E11" s="293"/>
      <c r="F11" s="293"/>
      <c r="G11" s="319"/>
      <c r="H11" s="293"/>
      <c r="I11" s="293"/>
      <c r="J11" s="293"/>
      <c r="K11" s="293"/>
      <c r="L11" s="293"/>
      <c r="M11" s="293"/>
      <c r="N11" s="293"/>
      <c r="O11" s="324" t="s">
        <v>10</v>
      </c>
      <c r="P11" s="293" t="s">
        <v>142</v>
      </c>
      <c r="Q11" s="293"/>
      <c r="R11" s="293"/>
      <c r="S11" s="293"/>
      <c r="T11" s="319"/>
      <c r="U11" s="319"/>
      <c r="V11" s="293"/>
      <c r="W11" s="293"/>
      <c r="X11" s="293"/>
      <c r="Y11" s="293"/>
      <c r="Z11" s="311"/>
      <c r="AA11" s="312"/>
      <c r="AB11" s="319"/>
      <c r="AC11" s="293"/>
      <c r="AD11" s="324"/>
      <c r="AE11" s="324"/>
      <c r="AF11" s="343"/>
      <c r="AG11" s="336"/>
      <c r="AH11" s="325"/>
      <c r="AI11" s="325"/>
      <c r="AJ11" s="325"/>
      <c r="AK11" s="293"/>
      <c r="AL11" s="293"/>
      <c r="AM11" s="293"/>
      <c r="AN11" s="293"/>
      <c r="AO11" s="293"/>
      <c r="AP11" s="320"/>
      <c r="AQ11" s="293"/>
      <c r="AR11" s="319"/>
      <c r="AS11" s="319"/>
      <c r="AT11" s="293"/>
      <c r="AU11" s="320"/>
      <c r="AV11" s="320"/>
      <c r="AW11" s="293"/>
    </row>
    <row r="12" spans="1:64" ht="36" customHeight="1" x14ac:dyDescent="0.2">
      <c r="A12" s="293"/>
      <c r="B12" s="293"/>
      <c r="C12" s="305"/>
      <c r="D12" s="305"/>
      <c r="E12" s="293"/>
      <c r="F12" s="293"/>
      <c r="G12" s="318"/>
      <c r="H12" s="293"/>
      <c r="I12" s="117" t="s">
        <v>1</v>
      </c>
      <c r="J12" s="117" t="s">
        <v>142</v>
      </c>
      <c r="K12" s="117" t="s">
        <v>7</v>
      </c>
      <c r="L12" s="117" t="s">
        <v>142</v>
      </c>
      <c r="M12" s="117" t="s">
        <v>8</v>
      </c>
      <c r="N12" s="117" t="s">
        <v>142</v>
      </c>
      <c r="O12" s="324"/>
      <c r="P12" s="293"/>
      <c r="Q12" s="123" t="s">
        <v>1</v>
      </c>
      <c r="R12" s="117" t="s">
        <v>142</v>
      </c>
      <c r="S12" s="293"/>
      <c r="T12" s="318"/>
      <c r="U12" s="318"/>
      <c r="V12" s="123" t="s">
        <v>1</v>
      </c>
      <c r="W12" s="117" t="s">
        <v>142</v>
      </c>
      <c r="X12" s="123" t="s">
        <v>1</v>
      </c>
      <c r="Y12" s="117" t="s">
        <v>142</v>
      </c>
      <c r="Z12" s="123" t="s">
        <v>1</v>
      </c>
      <c r="AA12" s="117" t="s">
        <v>142</v>
      </c>
      <c r="AB12" s="318"/>
      <c r="AC12" s="293"/>
      <c r="AD12" s="123" t="s">
        <v>1</v>
      </c>
      <c r="AE12" s="123" t="s">
        <v>142</v>
      </c>
      <c r="AF12" s="123" t="s">
        <v>1</v>
      </c>
      <c r="AG12" s="123" t="s">
        <v>142</v>
      </c>
      <c r="AH12" s="316"/>
      <c r="AI12" s="316"/>
      <c r="AJ12" s="316"/>
      <c r="AK12" s="123" t="s">
        <v>1</v>
      </c>
      <c r="AL12" s="117" t="s">
        <v>142</v>
      </c>
      <c r="AM12" s="293"/>
      <c r="AN12" s="293"/>
      <c r="AO12" s="293"/>
      <c r="AP12" s="320"/>
      <c r="AQ12" s="293"/>
      <c r="AR12" s="318"/>
      <c r="AS12" s="318"/>
      <c r="AT12" s="293"/>
      <c r="AU12" s="320"/>
      <c r="AV12" s="320"/>
      <c r="AW12" s="293"/>
    </row>
    <row r="13" spans="1:64" s="66" customFormat="1" ht="45" customHeight="1" x14ac:dyDescent="0.25">
      <c r="A13" s="13">
        <v>1</v>
      </c>
      <c r="B13" s="13">
        <v>2</v>
      </c>
      <c r="C13" s="13">
        <v>3</v>
      </c>
      <c r="D13" s="13">
        <v>4</v>
      </c>
      <c r="E13" s="13">
        <v>5</v>
      </c>
      <c r="F13" s="13" t="s">
        <v>12</v>
      </c>
      <c r="G13" s="13">
        <v>7</v>
      </c>
      <c r="H13" s="13" t="s">
        <v>24</v>
      </c>
      <c r="I13" s="14">
        <v>9</v>
      </c>
      <c r="J13" s="14" t="s">
        <v>36</v>
      </c>
      <c r="K13" s="13">
        <v>11</v>
      </c>
      <c r="L13" s="13">
        <v>12</v>
      </c>
      <c r="M13" s="13">
        <v>13</v>
      </c>
      <c r="N13" s="13">
        <v>14</v>
      </c>
      <c r="O13" s="13">
        <v>15</v>
      </c>
      <c r="P13" s="13">
        <v>16</v>
      </c>
      <c r="Q13" s="13">
        <v>17</v>
      </c>
      <c r="R13" s="13" t="s">
        <v>34</v>
      </c>
      <c r="S13" s="13" t="s">
        <v>37</v>
      </c>
      <c r="T13" s="13" t="s">
        <v>45</v>
      </c>
      <c r="U13" s="13" t="s">
        <v>46</v>
      </c>
      <c r="V13" s="13">
        <v>22</v>
      </c>
      <c r="W13" s="13" t="s">
        <v>33</v>
      </c>
      <c r="X13" s="13">
        <v>24</v>
      </c>
      <c r="Y13" s="13" t="s">
        <v>47</v>
      </c>
      <c r="Z13" s="13">
        <v>26</v>
      </c>
      <c r="AA13" s="13" t="s">
        <v>48</v>
      </c>
      <c r="AB13" s="13" t="s">
        <v>25</v>
      </c>
      <c r="AC13" s="13" t="s">
        <v>119</v>
      </c>
      <c r="AD13" s="14">
        <v>30</v>
      </c>
      <c r="AE13" s="14" t="s">
        <v>477</v>
      </c>
      <c r="AF13" s="68">
        <v>32</v>
      </c>
      <c r="AG13" s="14" t="s">
        <v>478</v>
      </c>
      <c r="AH13" s="14">
        <v>34</v>
      </c>
      <c r="AI13" s="14" t="s">
        <v>479</v>
      </c>
      <c r="AJ13" s="14">
        <v>36</v>
      </c>
      <c r="AK13" s="13">
        <v>37</v>
      </c>
      <c r="AL13" s="13">
        <v>38</v>
      </c>
      <c r="AM13" s="14" t="s">
        <v>480</v>
      </c>
      <c r="AN13" s="68">
        <v>40</v>
      </c>
      <c r="AO13" s="14" t="s">
        <v>481</v>
      </c>
      <c r="AP13" s="162">
        <v>42</v>
      </c>
      <c r="AQ13" s="14" t="s">
        <v>482</v>
      </c>
      <c r="AR13" s="14" t="s">
        <v>483</v>
      </c>
      <c r="AS13" s="14">
        <v>45</v>
      </c>
      <c r="AT13" s="14" t="s">
        <v>484</v>
      </c>
      <c r="AU13" s="162" t="s">
        <v>485</v>
      </c>
      <c r="AV13" s="162" t="s">
        <v>486</v>
      </c>
      <c r="AW13" s="14" t="s">
        <v>487</v>
      </c>
    </row>
    <row r="14" spans="1:64" s="87" customFormat="1" ht="38.25" x14ac:dyDescent="0.2">
      <c r="A14" s="84"/>
      <c r="B14" s="86" t="s">
        <v>318</v>
      </c>
      <c r="C14" s="84"/>
      <c r="D14" s="84">
        <f>SUM(D15:D17)</f>
        <v>1</v>
      </c>
      <c r="E14" s="256">
        <f t="shared" ref="E14:AW14" si="0">SUM(E15:E17)</f>
        <v>1430</v>
      </c>
      <c r="F14" s="256">
        <f t="shared" si="0"/>
        <v>1430</v>
      </c>
      <c r="G14" s="256">
        <f t="shared" si="0"/>
        <v>0</v>
      </c>
      <c r="H14" s="256">
        <f t="shared" si="0"/>
        <v>1430</v>
      </c>
      <c r="I14" s="256"/>
      <c r="J14" s="256">
        <f t="shared" si="0"/>
        <v>429</v>
      </c>
      <c r="K14" s="257">
        <f t="shared" si="0"/>
        <v>0</v>
      </c>
      <c r="L14" s="256">
        <f t="shared" si="0"/>
        <v>0</v>
      </c>
      <c r="M14" s="257">
        <f t="shared" si="0"/>
        <v>0</v>
      </c>
      <c r="N14" s="256">
        <f t="shared" si="0"/>
        <v>0</v>
      </c>
      <c r="O14" s="258">
        <f t="shared" si="0"/>
        <v>0</v>
      </c>
      <c r="P14" s="256">
        <f t="shared" si="0"/>
        <v>0</v>
      </c>
      <c r="Q14" s="256">
        <f t="shared" si="0"/>
        <v>0</v>
      </c>
      <c r="R14" s="256">
        <f t="shared" si="0"/>
        <v>0</v>
      </c>
      <c r="S14" s="256">
        <f t="shared" si="0"/>
        <v>0</v>
      </c>
      <c r="T14" s="256">
        <f t="shared" si="0"/>
        <v>0</v>
      </c>
      <c r="U14" s="256">
        <f t="shared" si="0"/>
        <v>0</v>
      </c>
      <c r="V14" s="256">
        <f t="shared" si="0"/>
        <v>0</v>
      </c>
      <c r="W14" s="256">
        <f t="shared" si="0"/>
        <v>0</v>
      </c>
      <c r="X14" s="256">
        <f t="shared" si="0"/>
        <v>0</v>
      </c>
      <c r="Y14" s="256">
        <f t="shared" si="0"/>
        <v>0</v>
      </c>
      <c r="Z14" s="256">
        <f t="shared" si="0"/>
        <v>0</v>
      </c>
      <c r="AA14" s="256">
        <f t="shared" si="0"/>
        <v>0</v>
      </c>
      <c r="AB14" s="256">
        <f t="shared" si="0"/>
        <v>0</v>
      </c>
      <c r="AC14" s="256">
        <f t="shared" si="0"/>
        <v>286</v>
      </c>
      <c r="AD14" s="256">
        <f t="shared" si="0"/>
        <v>0</v>
      </c>
      <c r="AE14" s="256">
        <f t="shared" si="0"/>
        <v>0</v>
      </c>
      <c r="AF14" s="256">
        <f t="shared" si="0"/>
        <v>0</v>
      </c>
      <c r="AG14" s="256">
        <f t="shared" si="0"/>
        <v>0</v>
      </c>
      <c r="AH14" s="259">
        <f t="shared" si="0"/>
        <v>0</v>
      </c>
      <c r="AI14" s="256">
        <f t="shared" si="0"/>
        <v>0</v>
      </c>
      <c r="AJ14" s="256">
        <f t="shared" si="0"/>
        <v>0</v>
      </c>
      <c r="AK14" s="260">
        <f t="shared" si="0"/>
        <v>0</v>
      </c>
      <c r="AL14" s="256">
        <f t="shared" si="0"/>
        <v>0</v>
      </c>
      <c r="AM14" s="262">
        <f t="shared" si="0"/>
        <v>2145</v>
      </c>
      <c r="AN14" s="262">
        <f t="shared" si="0"/>
        <v>1072.5</v>
      </c>
      <c r="AO14" s="262">
        <f t="shared" si="0"/>
        <v>1072.5</v>
      </c>
      <c r="AP14" s="262">
        <f t="shared" si="0"/>
        <v>1072.5</v>
      </c>
      <c r="AQ14" s="262">
        <f t="shared" si="0"/>
        <v>1430</v>
      </c>
      <c r="AR14" s="262">
        <f t="shared" si="0"/>
        <v>208.5</v>
      </c>
      <c r="AS14" s="262">
        <f t="shared" si="0"/>
        <v>0</v>
      </c>
      <c r="AT14" s="262">
        <f t="shared" si="0"/>
        <v>29.5</v>
      </c>
      <c r="AU14" s="262">
        <f t="shared" si="0"/>
        <v>6.5</v>
      </c>
      <c r="AV14" s="262">
        <f t="shared" si="0"/>
        <v>1.3</v>
      </c>
      <c r="AW14" s="262">
        <f t="shared" si="0"/>
        <v>37.299999999999997</v>
      </c>
    </row>
    <row r="15" spans="1:64" s="142" customFormat="1" ht="18" customHeight="1" x14ac:dyDescent="0.2">
      <c r="A15" s="140">
        <v>1</v>
      </c>
      <c r="B15" s="146" t="s">
        <v>395</v>
      </c>
      <c r="C15" s="140">
        <v>16</v>
      </c>
      <c r="D15" s="140">
        <v>1</v>
      </c>
      <c r="E15" s="165">
        <v>1430</v>
      </c>
      <c r="F15" s="165">
        <f>E15*D15</f>
        <v>1430</v>
      </c>
      <c r="G15" s="165"/>
      <c r="H15" s="165">
        <f>F15</f>
        <v>1430</v>
      </c>
      <c r="I15" s="249">
        <v>0.3</v>
      </c>
      <c r="J15" s="165">
        <f>H15*I15</f>
        <v>429</v>
      </c>
      <c r="K15" s="250"/>
      <c r="L15" s="165"/>
      <c r="M15" s="250"/>
      <c r="N15" s="165"/>
      <c r="O15" s="251"/>
      <c r="P15" s="165"/>
      <c r="Q15" s="249"/>
      <c r="R15" s="165"/>
      <c r="S15" s="165"/>
      <c r="T15" s="165"/>
      <c r="U15" s="165"/>
      <c r="V15" s="249"/>
      <c r="W15" s="165"/>
      <c r="X15" s="252"/>
      <c r="Y15" s="165"/>
      <c r="Z15" s="252"/>
      <c r="AA15" s="165"/>
      <c r="AB15" s="165"/>
      <c r="AC15" s="165">
        <f>H15*0.2</f>
        <v>286</v>
      </c>
      <c r="AD15" s="252"/>
      <c r="AE15" s="165"/>
      <c r="AF15" s="249"/>
      <c r="AG15" s="165"/>
      <c r="AH15" s="261"/>
      <c r="AI15" s="165">
        <f>ROUND(H15/169*AH15*50%,1)</f>
        <v>0</v>
      </c>
      <c r="AJ15" s="165"/>
      <c r="AK15" s="249"/>
      <c r="AL15" s="165"/>
      <c r="AM15" s="254">
        <f>ROUND(AL15+AJ15+AI15+AG15+AE15+AC15+AB15+AA15+Y15+W15+U15+T15+S15+R15+P15+N15+L15+J15+H15,1)</f>
        <v>2145</v>
      </c>
      <c r="AN15" s="254">
        <f>ROUND(AM15/2,1)</f>
        <v>1072.5</v>
      </c>
      <c r="AO15" s="254">
        <f>AM15-AN15</f>
        <v>1072.5</v>
      </c>
      <c r="AP15" s="255">
        <f>IF(AO15&gt;6650*D15,D15*6650,AO15)</f>
        <v>1072.5</v>
      </c>
      <c r="AQ15" s="254">
        <f>H15</f>
        <v>1430</v>
      </c>
      <c r="AR15" s="254">
        <f>ROUND((AN15+AQ15)/12,1)</f>
        <v>208.5</v>
      </c>
      <c r="AS15" s="254"/>
      <c r="AT15" s="254">
        <f>ROUND((AM15*12+AN15+AS15+AR15+AQ15+AO15)/1000,1)</f>
        <v>29.5</v>
      </c>
      <c r="AU15" s="254">
        <f>ROUND((AT15-AP15/1000)*23%,1)</f>
        <v>6.5</v>
      </c>
      <c r="AV15" s="254">
        <f>ROUND(AT15*4.5%,1)</f>
        <v>1.3</v>
      </c>
      <c r="AW15" s="254">
        <f>SUM(AT15:AV15)</f>
        <v>37.299999999999997</v>
      </c>
    </row>
    <row r="16" spans="1:64" s="142" customFormat="1" x14ac:dyDescent="0.2">
      <c r="A16" s="140">
        <v>2</v>
      </c>
      <c r="B16" s="140" t="s">
        <v>319</v>
      </c>
      <c r="C16" s="140"/>
      <c r="D16" s="140"/>
      <c r="E16" s="165"/>
      <c r="F16" s="165">
        <f t="shared" ref="F16:F23" si="1">E16*D16</f>
        <v>0</v>
      </c>
      <c r="G16" s="165"/>
      <c r="H16" s="165">
        <f t="shared" ref="H16:H17" si="2">F16</f>
        <v>0</v>
      </c>
      <c r="I16" s="249"/>
      <c r="J16" s="165">
        <f t="shared" ref="J16:J23" si="3">H16*I16</f>
        <v>0</v>
      </c>
      <c r="K16" s="250"/>
      <c r="L16" s="165"/>
      <c r="M16" s="250"/>
      <c r="N16" s="165"/>
      <c r="O16" s="251"/>
      <c r="P16" s="165"/>
      <c r="Q16" s="249"/>
      <c r="R16" s="165"/>
      <c r="S16" s="165"/>
      <c r="T16" s="165"/>
      <c r="U16" s="165"/>
      <c r="V16" s="249"/>
      <c r="W16" s="165"/>
      <c r="X16" s="252"/>
      <c r="Y16" s="165"/>
      <c r="Z16" s="252"/>
      <c r="AA16" s="165"/>
      <c r="AB16" s="165"/>
      <c r="AC16" s="165">
        <f t="shared" ref="AC16:AC17" si="4">H16*0.2</f>
        <v>0</v>
      </c>
      <c r="AD16" s="252"/>
      <c r="AE16" s="165"/>
      <c r="AF16" s="249"/>
      <c r="AG16" s="165"/>
      <c r="AH16" s="261"/>
      <c r="AI16" s="165">
        <f t="shared" ref="AI16:AI23" si="5">ROUND(H16/169*AH16*50%,1)</f>
        <v>0</v>
      </c>
      <c r="AJ16" s="165"/>
      <c r="AK16" s="249"/>
      <c r="AL16" s="165"/>
      <c r="AM16" s="254">
        <f t="shared" ref="AM16:AM17" si="6">AL16+AJ16+AI16+AG16+AE16+AC16+AB16+AA16+Y16+W16+U16+T16+S16+R16+P16+N16+L16+J16+H16</f>
        <v>0</v>
      </c>
      <c r="AN16" s="254">
        <f t="shared" ref="AN16:AN23" si="7">ROUND(AM16/2,1)</f>
        <v>0</v>
      </c>
      <c r="AO16" s="254">
        <f t="shared" ref="AO16:AO23" si="8">AM16-AN16</f>
        <v>0</v>
      </c>
      <c r="AP16" s="255">
        <f t="shared" ref="AP16:AP23" si="9">IF(AO16&gt;6650*D16,D16*6650,AO16)</f>
        <v>0</v>
      </c>
      <c r="AQ16" s="254">
        <f t="shared" ref="AQ16:AQ23" si="10">H16</f>
        <v>0</v>
      </c>
      <c r="AR16" s="254">
        <f t="shared" ref="AR16:AR23" si="11">ROUND((AN16+AQ16)/12,1)</f>
        <v>0</v>
      </c>
      <c r="AS16" s="254"/>
      <c r="AT16" s="254">
        <f t="shared" ref="AT16:AT23" si="12">ROUND((AM16*12+AN16+AS16+AR16+AQ16+AO16)/1000,1)</f>
        <v>0</v>
      </c>
      <c r="AU16" s="254">
        <f t="shared" ref="AU16:AU23" si="13">ROUND((AT16-AP16/1000)*23%,1)</f>
        <v>0</v>
      </c>
      <c r="AV16" s="254">
        <f t="shared" ref="AV16:AV23" si="14">ROUND(AT16*4.5%,1)</f>
        <v>0</v>
      </c>
      <c r="AW16" s="254">
        <f t="shared" ref="AW16:AW23" si="15">SUM(AT16:AV16)</f>
        <v>0</v>
      </c>
    </row>
    <row r="17" spans="1:66" s="142" customFormat="1" ht="14.45" customHeight="1" x14ac:dyDescent="0.2">
      <c r="A17" s="140">
        <v>3</v>
      </c>
      <c r="B17" s="140" t="s">
        <v>319</v>
      </c>
      <c r="C17" s="140"/>
      <c r="D17" s="140"/>
      <c r="E17" s="165"/>
      <c r="F17" s="165">
        <f t="shared" si="1"/>
        <v>0</v>
      </c>
      <c r="G17" s="165"/>
      <c r="H17" s="165">
        <f t="shared" si="2"/>
        <v>0</v>
      </c>
      <c r="I17" s="249"/>
      <c r="J17" s="165">
        <f t="shared" si="3"/>
        <v>0</v>
      </c>
      <c r="K17" s="250"/>
      <c r="L17" s="165"/>
      <c r="M17" s="250"/>
      <c r="N17" s="165"/>
      <c r="O17" s="251"/>
      <c r="P17" s="165"/>
      <c r="Q17" s="249"/>
      <c r="R17" s="165"/>
      <c r="S17" s="165"/>
      <c r="T17" s="165"/>
      <c r="U17" s="165"/>
      <c r="V17" s="249"/>
      <c r="W17" s="165"/>
      <c r="X17" s="252"/>
      <c r="Y17" s="165"/>
      <c r="Z17" s="252"/>
      <c r="AA17" s="165"/>
      <c r="AB17" s="165"/>
      <c r="AC17" s="165">
        <f t="shared" si="4"/>
        <v>0</v>
      </c>
      <c r="AD17" s="252"/>
      <c r="AE17" s="165"/>
      <c r="AF17" s="249"/>
      <c r="AG17" s="165"/>
      <c r="AH17" s="261"/>
      <c r="AI17" s="165">
        <f t="shared" si="5"/>
        <v>0</v>
      </c>
      <c r="AJ17" s="165"/>
      <c r="AK17" s="249"/>
      <c r="AL17" s="165"/>
      <c r="AM17" s="254">
        <f t="shared" si="6"/>
        <v>0</v>
      </c>
      <c r="AN17" s="254">
        <f t="shared" si="7"/>
        <v>0</v>
      </c>
      <c r="AO17" s="254">
        <f t="shared" si="8"/>
        <v>0</v>
      </c>
      <c r="AP17" s="255">
        <f t="shared" si="9"/>
        <v>0</v>
      </c>
      <c r="AQ17" s="254">
        <f t="shared" si="10"/>
        <v>0</v>
      </c>
      <c r="AR17" s="254">
        <f t="shared" si="11"/>
        <v>0</v>
      </c>
      <c r="AS17" s="254"/>
      <c r="AT17" s="254">
        <f t="shared" si="12"/>
        <v>0</v>
      </c>
      <c r="AU17" s="254">
        <f t="shared" si="13"/>
        <v>0</v>
      </c>
      <c r="AV17" s="254">
        <f t="shared" si="14"/>
        <v>0</v>
      </c>
      <c r="AW17" s="254">
        <f t="shared" si="15"/>
        <v>0</v>
      </c>
    </row>
    <row r="18" spans="1:66" s="87" customFormat="1" ht="14.45" customHeight="1" x14ac:dyDescent="0.2">
      <c r="A18" s="84"/>
      <c r="B18" s="84" t="s">
        <v>320</v>
      </c>
      <c r="C18" s="84"/>
      <c r="D18" s="84">
        <f t="shared" ref="D18:AV18" si="16">SUM(D19:D23)</f>
        <v>1.5</v>
      </c>
      <c r="E18" s="256">
        <f t="shared" si="16"/>
        <v>1140</v>
      </c>
      <c r="F18" s="256">
        <f t="shared" si="16"/>
        <v>1710</v>
      </c>
      <c r="G18" s="256">
        <f t="shared" si="16"/>
        <v>1.1499999999999999</v>
      </c>
      <c r="H18" s="256">
        <f t="shared" si="16"/>
        <v>1966.4999999999998</v>
      </c>
      <c r="I18" s="256"/>
      <c r="J18" s="256">
        <f t="shared" si="16"/>
        <v>589.94999999999993</v>
      </c>
      <c r="K18" s="257">
        <f t="shared" si="16"/>
        <v>0</v>
      </c>
      <c r="L18" s="256">
        <f t="shared" si="16"/>
        <v>0</v>
      </c>
      <c r="M18" s="257">
        <f t="shared" si="16"/>
        <v>0</v>
      </c>
      <c r="N18" s="256">
        <f t="shared" si="16"/>
        <v>0</v>
      </c>
      <c r="O18" s="258">
        <f t="shared" si="16"/>
        <v>0</v>
      </c>
      <c r="P18" s="256">
        <f t="shared" si="16"/>
        <v>0</v>
      </c>
      <c r="Q18" s="256">
        <f t="shared" si="16"/>
        <v>0</v>
      </c>
      <c r="R18" s="256">
        <f t="shared" si="16"/>
        <v>0</v>
      </c>
      <c r="S18" s="256">
        <f t="shared" si="16"/>
        <v>0</v>
      </c>
      <c r="T18" s="256">
        <f t="shared" si="16"/>
        <v>0</v>
      </c>
      <c r="U18" s="256">
        <f t="shared" si="16"/>
        <v>0</v>
      </c>
      <c r="V18" s="256"/>
      <c r="W18" s="256">
        <f t="shared" si="16"/>
        <v>196.7</v>
      </c>
      <c r="X18" s="256">
        <f t="shared" si="16"/>
        <v>0</v>
      </c>
      <c r="Y18" s="256">
        <f t="shared" si="16"/>
        <v>0</v>
      </c>
      <c r="Z18" s="256">
        <f t="shared" si="16"/>
        <v>0</v>
      </c>
      <c r="AA18" s="256">
        <f t="shared" si="16"/>
        <v>0</v>
      </c>
      <c r="AB18" s="256">
        <f t="shared" si="16"/>
        <v>0</v>
      </c>
      <c r="AC18" s="256">
        <f t="shared" si="16"/>
        <v>0</v>
      </c>
      <c r="AD18" s="256">
        <f t="shared" si="16"/>
        <v>0</v>
      </c>
      <c r="AE18" s="256">
        <f t="shared" si="16"/>
        <v>0</v>
      </c>
      <c r="AF18" s="256">
        <f t="shared" si="16"/>
        <v>0</v>
      </c>
      <c r="AG18" s="256">
        <f t="shared" si="16"/>
        <v>0</v>
      </c>
      <c r="AH18" s="259">
        <f t="shared" si="16"/>
        <v>0</v>
      </c>
      <c r="AI18" s="259">
        <f t="shared" si="16"/>
        <v>0</v>
      </c>
      <c r="AJ18" s="256">
        <f t="shared" si="16"/>
        <v>0</v>
      </c>
      <c r="AK18" s="260">
        <f t="shared" si="16"/>
        <v>0</v>
      </c>
      <c r="AL18" s="256">
        <f t="shared" si="16"/>
        <v>0</v>
      </c>
      <c r="AM18" s="262">
        <f t="shared" si="16"/>
        <v>2753.2</v>
      </c>
      <c r="AN18" s="262">
        <f>SUM(AN19:AN23)</f>
        <v>1376.6</v>
      </c>
      <c r="AO18" s="262">
        <f t="shared" si="16"/>
        <v>1376.6</v>
      </c>
      <c r="AP18" s="262">
        <f t="shared" si="16"/>
        <v>1376.6</v>
      </c>
      <c r="AQ18" s="262">
        <f t="shared" si="16"/>
        <v>1966.4999999999998</v>
      </c>
      <c r="AR18" s="262">
        <f t="shared" si="16"/>
        <v>278.60000000000002</v>
      </c>
      <c r="AS18" s="262">
        <f t="shared" si="16"/>
        <v>0</v>
      </c>
      <c r="AT18" s="262">
        <f t="shared" si="16"/>
        <v>38</v>
      </c>
      <c r="AU18" s="262">
        <f t="shared" si="16"/>
        <v>8.4</v>
      </c>
      <c r="AV18" s="262">
        <f t="shared" si="16"/>
        <v>1.7</v>
      </c>
      <c r="AW18" s="262">
        <f>SUM(AW19:AW23)</f>
        <v>48.1</v>
      </c>
    </row>
    <row r="19" spans="1:66" s="142" customFormat="1" ht="14.45" customHeight="1" x14ac:dyDescent="0.2">
      <c r="A19" s="140">
        <v>1</v>
      </c>
      <c r="B19" s="140" t="s">
        <v>395</v>
      </c>
      <c r="C19" s="140">
        <v>4</v>
      </c>
      <c r="D19" s="140">
        <v>1.5</v>
      </c>
      <c r="E19" s="165">
        <v>1140</v>
      </c>
      <c r="F19" s="165">
        <f t="shared" si="1"/>
        <v>1710</v>
      </c>
      <c r="G19" s="165">
        <v>1.1499999999999999</v>
      </c>
      <c r="H19" s="165">
        <f>G19*F19</f>
        <v>1966.4999999999998</v>
      </c>
      <c r="I19" s="249">
        <v>0.3</v>
      </c>
      <c r="J19" s="165">
        <f t="shared" si="3"/>
        <v>589.94999999999993</v>
      </c>
      <c r="K19" s="250"/>
      <c r="L19" s="165"/>
      <c r="M19" s="250"/>
      <c r="N19" s="165"/>
      <c r="O19" s="251"/>
      <c r="P19" s="165"/>
      <c r="Q19" s="249"/>
      <c r="R19" s="165"/>
      <c r="S19" s="165"/>
      <c r="T19" s="165"/>
      <c r="U19" s="165"/>
      <c r="V19" s="249">
        <v>0.1</v>
      </c>
      <c r="W19" s="165">
        <f>ROUND(H19*V19,1)</f>
        <v>196.7</v>
      </c>
      <c r="X19" s="252"/>
      <c r="Y19" s="165"/>
      <c r="Z19" s="252"/>
      <c r="AA19" s="165"/>
      <c r="AB19" s="165"/>
      <c r="AC19" s="165" t="s">
        <v>396</v>
      </c>
      <c r="AD19" s="252"/>
      <c r="AE19" s="165"/>
      <c r="AF19" s="249"/>
      <c r="AG19" s="165"/>
      <c r="AH19" s="261"/>
      <c r="AI19" s="165">
        <f t="shared" si="5"/>
        <v>0</v>
      </c>
      <c r="AJ19" s="165"/>
      <c r="AK19" s="249"/>
      <c r="AL19" s="165"/>
      <c r="AM19" s="254">
        <f>ROUND(AL19+AJ19+AI19+AG19+AB19+AA19+Y19+W19+S19+R19+P19+N19+J19+H19,1)</f>
        <v>2753.2</v>
      </c>
      <c r="AN19" s="254">
        <f t="shared" si="7"/>
        <v>1376.6</v>
      </c>
      <c r="AO19" s="254">
        <f t="shared" si="8"/>
        <v>1376.6</v>
      </c>
      <c r="AP19" s="255">
        <f t="shared" si="9"/>
        <v>1376.6</v>
      </c>
      <c r="AQ19" s="254">
        <f t="shared" si="10"/>
        <v>1966.4999999999998</v>
      </c>
      <c r="AR19" s="254">
        <f t="shared" si="11"/>
        <v>278.60000000000002</v>
      </c>
      <c r="AS19" s="254"/>
      <c r="AT19" s="254">
        <f t="shared" si="12"/>
        <v>38</v>
      </c>
      <c r="AU19" s="254">
        <f t="shared" si="13"/>
        <v>8.4</v>
      </c>
      <c r="AV19" s="254">
        <f t="shared" si="14"/>
        <v>1.7</v>
      </c>
      <c r="AW19" s="254">
        <f t="shared" si="15"/>
        <v>48.1</v>
      </c>
    </row>
    <row r="20" spans="1:66" s="142" customFormat="1" ht="14.45" customHeight="1" x14ac:dyDescent="0.2">
      <c r="A20" s="140">
        <v>2</v>
      </c>
      <c r="B20" s="140" t="s">
        <v>319</v>
      </c>
      <c r="C20" s="140"/>
      <c r="D20" s="140"/>
      <c r="E20" s="165"/>
      <c r="F20" s="165">
        <f t="shared" si="1"/>
        <v>0</v>
      </c>
      <c r="G20" s="165"/>
      <c r="H20" s="165">
        <f t="shared" ref="H20:H23" si="17">G20*F20</f>
        <v>0</v>
      </c>
      <c r="I20" s="249"/>
      <c r="J20" s="165">
        <f t="shared" si="3"/>
        <v>0</v>
      </c>
      <c r="K20" s="250"/>
      <c r="L20" s="165"/>
      <c r="M20" s="250"/>
      <c r="N20" s="165"/>
      <c r="O20" s="251"/>
      <c r="P20" s="165"/>
      <c r="Q20" s="249"/>
      <c r="R20" s="165"/>
      <c r="S20" s="165"/>
      <c r="T20" s="165"/>
      <c r="U20" s="165"/>
      <c r="V20" s="249"/>
      <c r="W20" s="165">
        <f t="shared" ref="W20:W23" si="18">ROUND(H20*V20,1)</f>
        <v>0</v>
      </c>
      <c r="X20" s="252"/>
      <c r="Y20" s="165"/>
      <c r="Z20" s="252"/>
      <c r="AA20" s="165"/>
      <c r="AB20" s="165"/>
      <c r="AC20" s="165" t="s">
        <v>396</v>
      </c>
      <c r="AD20" s="252"/>
      <c r="AE20" s="165"/>
      <c r="AF20" s="249"/>
      <c r="AG20" s="165"/>
      <c r="AH20" s="261"/>
      <c r="AI20" s="165">
        <f t="shared" si="5"/>
        <v>0</v>
      </c>
      <c r="AJ20" s="165"/>
      <c r="AK20" s="249"/>
      <c r="AL20" s="165"/>
      <c r="AM20" s="254">
        <f t="shared" ref="AM20:AM23" si="19">ROUND(AL20+AJ20+AI20+AG20+AB20+AA20+Y20+W20+S20+R20+P20+N20+J20+H20,1)</f>
        <v>0</v>
      </c>
      <c r="AN20" s="254">
        <f t="shared" si="7"/>
        <v>0</v>
      </c>
      <c r="AO20" s="254">
        <f t="shared" si="8"/>
        <v>0</v>
      </c>
      <c r="AP20" s="255">
        <f t="shared" si="9"/>
        <v>0</v>
      </c>
      <c r="AQ20" s="254">
        <f t="shared" si="10"/>
        <v>0</v>
      </c>
      <c r="AR20" s="254">
        <f t="shared" si="11"/>
        <v>0</v>
      </c>
      <c r="AS20" s="254"/>
      <c r="AT20" s="254">
        <f t="shared" si="12"/>
        <v>0</v>
      </c>
      <c r="AU20" s="254">
        <f t="shared" si="13"/>
        <v>0</v>
      </c>
      <c r="AV20" s="254">
        <f t="shared" si="14"/>
        <v>0</v>
      </c>
      <c r="AW20" s="254">
        <f t="shared" si="15"/>
        <v>0</v>
      </c>
    </row>
    <row r="21" spans="1:66" s="142" customFormat="1" x14ac:dyDescent="0.2">
      <c r="A21" s="140">
        <v>3</v>
      </c>
      <c r="B21" s="140" t="s">
        <v>319</v>
      </c>
      <c r="C21" s="140"/>
      <c r="D21" s="140"/>
      <c r="E21" s="165"/>
      <c r="F21" s="165">
        <f t="shared" si="1"/>
        <v>0</v>
      </c>
      <c r="G21" s="165"/>
      <c r="H21" s="165">
        <f t="shared" si="17"/>
        <v>0</v>
      </c>
      <c r="I21" s="249"/>
      <c r="J21" s="165">
        <f t="shared" si="3"/>
        <v>0</v>
      </c>
      <c r="K21" s="250"/>
      <c r="L21" s="165"/>
      <c r="M21" s="250"/>
      <c r="N21" s="165"/>
      <c r="O21" s="251"/>
      <c r="P21" s="165"/>
      <c r="Q21" s="249"/>
      <c r="R21" s="165"/>
      <c r="S21" s="165"/>
      <c r="T21" s="165"/>
      <c r="U21" s="165"/>
      <c r="V21" s="249"/>
      <c r="W21" s="165">
        <f t="shared" si="18"/>
        <v>0</v>
      </c>
      <c r="X21" s="252"/>
      <c r="Y21" s="165"/>
      <c r="Z21" s="252"/>
      <c r="AA21" s="165"/>
      <c r="AB21" s="165"/>
      <c r="AC21" s="165" t="s">
        <v>396</v>
      </c>
      <c r="AD21" s="252"/>
      <c r="AE21" s="165"/>
      <c r="AF21" s="249"/>
      <c r="AG21" s="165"/>
      <c r="AH21" s="261"/>
      <c r="AI21" s="165">
        <f t="shared" si="5"/>
        <v>0</v>
      </c>
      <c r="AJ21" s="165"/>
      <c r="AK21" s="249"/>
      <c r="AL21" s="165"/>
      <c r="AM21" s="254">
        <f t="shared" si="19"/>
        <v>0</v>
      </c>
      <c r="AN21" s="254">
        <f t="shared" si="7"/>
        <v>0</v>
      </c>
      <c r="AO21" s="254">
        <f t="shared" si="8"/>
        <v>0</v>
      </c>
      <c r="AP21" s="255">
        <f t="shared" si="9"/>
        <v>0</v>
      </c>
      <c r="AQ21" s="254">
        <f t="shared" si="10"/>
        <v>0</v>
      </c>
      <c r="AR21" s="254">
        <f t="shared" si="11"/>
        <v>0</v>
      </c>
      <c r="AS21" s="254"/>
      <c r="AT21" s="254">
        <f t="shared" si="12"/>
        <v>0</v>
      </c>
      <c r="AU21" s="254">
        <f t="shared" si="13"/>
        <v>0</v>
      </c>
      <c r="AV21" s="254">
        <f t="shared" si="14"/>
        <v>0</v>
      </c>
      <c r="AW21" s="254">
        <f t="shared" si="15"/>
        <v>0</v>
      </c>
    </row>
    <row r="22" spans="1:66" s="142" customFormat="1" x14ac:dyDescent="0.2">
      <c r="A22" s="140">
        <v>4</v>
      </c>
      <c r="B22" s="140"/>
      <c r="C22" s="140"/>
      <c r="D22" s="140"/>
      <c r="E22" s="165"/>
      <c r="F22" s="165">
        <f t="shared" si="1"/>
        <v>0</v>
      </c>
      <c r="G22" s="165"/>
      <c r="H22" s="165">
        <f t="shared" si="17"/>
        <v>0</v>
      </c>
      <c r="I22" s="249"/>
      <c r="J22" s="165">
        <f t="shared" si="3"/>
        <v>0</v>
      </c>
      <c r="K22" s="250"/>
      <c r="L22" s="165"/>
      <c r="M22" s="250"/>
      <c r="N22" s="165"/>
      <c r="O22" s="251"/>
      <c r="P22" s="165"/>
      <c r="Q22" s="249"/>
      <c r="R22" s="165"/>
      <c r="S22" s="165"/>
      <c r="T22" s="165"/>
      <c r="U22" s="165"/>
      <c r="V22" s="249"/>
      <c r="W22" s="165">
        <f t="shared" si="18"/>
        <v>0</v>
      </c>
      <c r="X22" s="252"/>
      <c r="Y22" s="165"/>
      <c r="Z22" s="252"/>
      <c r="AA22" s="165"/>
      <c r="AB22" s="165"/>
      <c r="AC22" s="165" t="s">
        <v>396</v>
      </c>
      <c r="AD22" s="252"/>
      <c r="AE22" s="165"/>
      <c r="AF22" s="249"/>
      <c r="AG22" s="165"/>
      <c r="AH22" s="261"/>
      <c r="AI22" s="165">
        <f t="shared" si="5"/>
        <v>0</v>
      </c>
      <c r="AJ22" s="165"/>
      <c r="AK22" s="249"/>
      <c r="AL22" s="165"/>
      <c r="AM22" s="254">
        <f t="shared" si="19"/>
        <v>0</v>
      </c>
      <c r="AN22" s="254">
        <f t="shared" si="7"/>
        <v>0</v>
      </c>
      <c r="AO22" s="254">
        <f t="shared" si="8"/>
        <v>0</v>
      </c>
      <c r="AP22" s="255">
        <f t="shared" si="9"/>
        <v>0</v>
      </c>
      <c r="AQ22" s="254">
        <f t="shared" si="10"/>
        <v>0</v>
      </c>
      <c r="AR22" s="254">
        <f t="shared" si="11"/>
        <v>0</v>
      </c>
      <c r="AS22" s="254"/>
      <c r="AT22" s="254">
        <f t="shared" si="12"/>
        <v>0</v>
      </c>
      <c r="AU22" s="254">
        <f t="shared" si="13"/>
        <v>0</v>
      </c>
      <c r="AV22" s="254">
        <f t="shared" si="14"/>
        <v>0</v>
      </c>
      <c r="AW22" s="254">
        <f t="shared" si="15"/>
        <v>0</v>
      </c>
    </row>
    <row r="23" spans="1:66" s="142" customFormat="1" x14ac:dyDescent="0.2">
      <c r="A23" s="140">
        <v>5</v>
      </c>
      <c r="B23" s="140"/>
      <c r="C23" s="140"/>
      <c r="D23" s="140"/>
      <c r="E23" s="165"/>
      <c r="F23" s="165">
        <f t="shared" si="1"/>
        <v>0</v>
      </c>
      <c r="G23" s="165"/>
      <c r="H23" s="165">
        <f t="shared" si="17"/>
        <v>0</v>
      </c>
      <c r="I23" s="249"/>
      <c r="J23" s="165">
        <f t="shared" si="3"/>
        <v>0</v>
      </c>
      <c r="K23" s="250"/>
      <c r="L23" s="165"/>
      <c r="M23" s="250"/>
      <c r="N23" s="165"/>
      <c r="O23" s="251"/>
      <c r="P23" s="165"/>
      <c r="Q23" s="249"/>
      <c r="R23" s="165"/>
      <c r="S23" s="165"/>
      <c r="T23" s="165"/>
      <c r="U23" s="165"/>
      <c r="V23" s="249"/>
      <c r="W23" s="165">
        <f t="shared" si="18"/>
        <v>0</v>
      </c>
      <c r="X23" s="252"/>
      <c r="Y23" s="165"/>
      <c r="Z23" s="252"/>
      <c r="AA23" s="165"/>
      <c r="AB23" s="165"/>
      <c r="AC23" s="165" t="s">
        <v>396</v>
      </c>
      <c r="AD23" s="252"/>
      <c r="AE23" s="165"/>
      <c r="AF23" s="249"/>
      <c r="AG23" s="165"/>
      <c r="AH23" s="261"/>
      <c r="AI23" s="165">
        <f t="shared" si="5"/>
        <v>0</v>
      </c>
      <c r="AJ23" s="165"/>
      <c r="AK23" s="249"/>
      <c r="AL23" s="165"/>
      <c r="AM23" s="254">
        <f t="shared" si="19"/>
        <v>0</v>
      </c>
      <c r="AN23" s="254">
        <f t="shared" si="7"/>
        <v>0</v>
      </c>
      <c r="AO23" s="254">
        <f t="shared" si="8"/>
        <v>0</v>
      </c>
      <c r="AP23" s="255">
        <f t="shared" si="9"/>
        <v>0</v>
      </c>
      <c r="AQ23" s="254">
        <f t="shared" si="10"/>
        <v>0</v>
      </c>
      <c r="AR23" s="254">
        <f t="shared" si="11"/>
        <v>0</v>
      </c>
      <c r="AS23" s="254"/>
      <c r="AT23" s="254">
        <f t="shared" si="12"/>
        <v>0</v>
      </c>
      <c r="AU23" s="254">
        <f t="shared" si="13"/>
        <v>0</v>
      </c>
      <c r="AV23" s="254">
        <f t="shared" si="14"/>
        <v>0</v>
      </c>
      <c r="AW23" s="254">
        <f t="shared" si="15"/>
        <v>0</v>
      </c>
    </row>
    <row r="24" spans="1:66" ht="14.25" customHeight="1" x14ac:dyDescent="0.2">
      <c r="A24" s="291" t="s">
        <v>488</v>
      </c>
      <c r="B24" s="292"/>
      <c r="C24" s="292"/>
      <c r="D24" s="292"/>
      <c r="E24" s="292"/>
      <c r="F24" s="292"/>
      <c r="G24" s="292"/>
      <c r="H24" s="292"/>
      <c r="I24" s="292"/>
      <c r="J24" s="292"/>
      <c r="K24" s="292"/>
      <c r="L24" s="292"/>
      <c r="M24" s="292"/>
      <c r="N24" s="292"/>
      <c r="O24" s="292"/>
      <c r="P24" s="292"/>
      <c r="Q24" s="292"/>
      <c r="R24" s="292"/>
      <c r="S24" s="292"/>
      <c r="T24" s="292"/>
      <c r="U24" s="292"/>
      <c r="V24" s="292"/>
      <c r="W24" s="292"/>
      <c r="X24" s="108"/>
      <c r="Y24" s="20"/>
      <c r="Z24" s="108"/>
      <c r="AA24" s="20"/>
      <c r="AB24" s="20"/>
      <c r="AC24" s="109"/>
      <c r="AD24" s="108"/>
      <c r="AE24" s="20"/>
      <c r="AF24" s="106"/>
      <c r="AG24" s="20"/>
      <c r="AH24" s="110"/>
      <c r="AI24" s="111"/>
      <c r="AJ24" s="20"/>
      <c r="AK24" s="106"/>
      <c r="AL24" s="20"/>
      <c r="AM24" s="112"/>
      <c r="AN24" s="113"/>
      <c r="AO24" s="20"/>
      <c r="AP24" s="114"/>
      <c r="AQ24" s="20"/>
      <c r="AR24" s="112"/>
      <c r="AS24" s="124"/>
      <c r="AT24" s="20"/>
      <c r="AU24" s="20"/>
      <c r="AV24" s="20"/>
      <c r="AW24" s="20"/>
    </row>
    <row r="25" spans="1:66" ht="14.25" customHeight="1" x14ac:dyDescent="0.2">
      <c r="A25" s="284" t="s">
        <v>489</v>
      </c>
      <c r="B25" s="284"/>
      <c r="C25" s="284"/>
      <c r="D25" s="284"/>
      <c r="E25" s="284"/>
      <c r="F25" s="284"/>
      <c r="G25" s="284"/>
      <c r="H25" s="284"/>
      <c r="I25" s="284"/>
      <c r="J25" s="284"/>
      <c r="K25" s="284"/>
      <c r="L25" s="284"/>
      <c r="M25" s="284"/>
      <c r="N25" s="284"/>
      <c r="O25" s="284"/>
      <c r="P25" s="284"/>
      <c r="Q25" s="284"/>
      <c r="R25" s="284"/>
      <c r="S25" s="284"/>
      <c r="T25" s="284"/>
      <c r="U25" s="284"/>
      <c r="V25" s="284"/>
      <c r="W25" s="284"/>
      <c r="X25" s="108"/>
      <c r="Y25" s="20"/>
      <c r="Z25" s="108"/>
      <c r="AA25" s="20"/>
      <c r="AB25" s="20"/>
      <c r="AC25" s="109"/>
      <c r="AD25" s="108"/>
      <c r="AE25" s="20"/>
      <c r="AF25" s="106"/>
      <c r="AG25" s="20"/>
      <c r="AH25" s="110"/>
      <c r="AI25" s="111"/>
      <c r="AJ25" s="20"/>
      <c r="AK25" s="106"/>
      <c r="AL25" s="20"/>
      <c r="AM25" s="112"/>
      <c r="AN25" s="113"/>
      <c r="AO25" s="20"/>
      <c r="AP25" s="114"/>
      <c r="AQ25" s="20"/>
      <c r="AR25" s="112"/>
      <c r="AS25" s="124"/>
      <c r="AT25" s="20"/>
      <c r="AU25" s="20"/>
      <c r="AV25" s="20"/>
      <c r="AW25" s="20"/>
    </row>
    <row r="26" spans="1:66" s="65" customFormat="1" ht="12.75" customHeight="1" x14ac:dyDescent="0.25">
      <c r="A26" s="358" t="s">
        <v>165</v>
      </c>
      <c r="B26" s="358"/>
      <c r="C26" s="48"/>
      <c r="D26" s="48"/>
      <c r="E26" s="48"/>
      <c r="F26" s="48"/>
      <c r="G26" s="48"/>
      <c r="H26" s="48"/>
      <c r="I26" s="48"/>
      <c r="J26" s="48"/>
      <c r="K26" s="48"/>
      <c r="L26" s="48"/>
      <c r="M26" s="48"/>
      <c r="N26" s="48"/>
      <c r="O26" s="48"/>
      <c r="P26" s="48"/>
      <c r="Q26" s="48"/>
      <c r="R26" s="48"/>
      <c r="S26" s="48"/>
      <c r="T26" s="48"/>
      <c r="U26" s="48"/>
      <c r="V26" s="49"/>
      <c r="W26" s="49"/>
      <c r="X26" s="167"/>
      <c r="Y26" s="49"/>
      <c r="Z26" s="49"/>
      <c r="AA26" s="49"/>
      <c r="AB26" s="20"/>
      <c r="AC26" s="20"/>
      <c r="AD26" s="20"/>
      <c r="AE26" s="20"/>
      <c r="AF26" s="20"/>
      <c r="AG26" s="20"/>
      <c r="AH26" s="20"/>
      <c r="AI26" s="20"/>
      <c r="AJ26" s="20"/>
      <c r="AK26" s="20"/>
      <c r="AL26" s="20"/>
      <c r="AM26" s="20"/>
      <c r="AN26" s="20"/>
      <c r="AO26" s="20"/>
      <c r="AP26" s="20"/>
      <c r="AQ26" s="20"/>
      <c r="AR26" s="20"/>
      <c r="AS26" s="20"/>
      <c r="AT26" s="20"/>
      <c r="AU26" s="20"/>
      <c r="AV26" s="20"/>
      <c r="AW26" s="21"/>
      <c r="AX26" s="21"/>
      <c r="AY26" s="19"/>
      <c r="AZ26" s="20"/>
      <c r="BA26" s="20"/>
      <c r="BB26" s="124"/>
      <c r="BC26" s="124"/>
      <c r="BD26" s="124"/>
      <c r="BE26" s="124"/>
      <c r="BF26" s="21"/>
      <c r="BG26" s="37"/>
      <c r="BH26" s="20"/>
      <c r="BI26" s="20"/>
      <c r="BJ26" s="20"/>
      <c r="BK26" s="20"/>
    </row>
    <row r="27" spans="1:66" s="20" customFormat="1" ht="16.5" customHeight="1" x14ac:dyDescent="0.2">
      <c r="A27" s="285" t="s">
        <v>490</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119"/>
      <c r="Z27" s="119"/>
      <c r="AA27" s="119"/>
      <c r="AB27" s="119"/>
      <c r="AC27" s="119"/>
      <c r="AD27" s="119"/>
      <c r="AE27" s="119"/>
      <c r="AF27" s="119"/>
      <c r="AG27" s="119"/>
      <c r="AH27" s="119"/>
      <c r="AI27" s="119"/>
      <c r="AJ27" s="119"/>
      <c r="AK27" s="119"/>
      <c r="AL27" s="119"/>
      <c r="AM27" s="119"/>
      <c r="AN27" s="19"/>
      <c r="AO27" s="19"/>
      <c r="AP27" s="19"/>
      <c r="AQ27" s="19"/>
      <c r="AR27" s="19"/>
      <c r="AS27" s="19"/>
      <c r="AT27" s="19"/>
      <c r="AU27" s="19"/>
      <c r="AY27" s="38"/>
      <c r="BA27" s="22"/>
      <c r="BB27" s="23"/>
      <c r="BC27" s="23"/>
      <c r="BD27" s="23"/>
      <c r="BE27" s="23"/>
      <c r="BF27" s="19"/>
      <c r="BG27" s="19"/>
      <c r="BH27" s="19"/>
      <c r="BI27" s="19"/>
      <c r="BJ27" s="19"/>
      <c r="BK27" s="19"/>
      <c r="BL27" s="19"/>
      <c r="BM27" s="19"/>
      <c r="BN27" s="19"/>
    </row>
    <row r="28" spans="1:66" s="20" customFormat="1" ht="30" customHeight="1" x14ac:dyDescent="0.2">
      <c r="A28" s="286" t="s">
        <v>408</v>
      </c>
      <c r="B28" s="286"/>
      <c r="C28" s="286"/>
      <c r="D28" s="286"/>
      <c r="E28" s="286"/>
      <c r="F28" s="286"/>
      <c r="G28" s="286"/>
      <c r="H28" s="286"/>
      <c r="I28" s="286"/>
      <c r="J28" s="286"/>
      <c r="K28" s="286"/>
      <c r="L28" s="286"/>
      <c r="M28" s="286"/>
      <c r="N28" s="286"/>
      <c r="O28" s="286"/>
      <c r="P28" s="286"/>
      <c r="Q28" s="286"/>
      <c r="R28" s="286"/>
      <c r="S28" s="286"/>
      <c r="T28" s="286"/>
      <c r="U28" s="286"/>
      <c r="V28" s="286"/>
      <c r="W28" s="286"/>
      <c r="X28" s="286"/>
      <c r="Y28" s="119"/>
      <c r="Z28" s="119"/>
      <c r="AA28" s="119"/>
      <c r="AB28" s="119"/>
      <c r="AC28" s="119"/>
      <c r="AD28" s="119"/>
      <c r="AE28" s="119"/>
      <c r="AF28" s="119"/>
      <c r="AG28" s="119"/>
      <c r="AH28" s="119"/>
      <c r="AI28" s="119"/>
      <c r="AJ28" s="119"/>
      <c r="AK28" s="119"/>
      <c r="AL28" s="119"/>
      <c r="AM28" s="119"/>
      <c r="AN28" s="19"/>
      <c r="AO28" s="19"/>
      <c r="AP28" s="19"/>
      <c r="AQ28" s="19"/>
      <c r="AR28" s="19"/>
      <c r="AS28" s="19"/>
      <c r="AT28" s="19"/>
      <c r="AU28" s="19"/>
      <c r="AY28" s="38"/>
      <c r="BA28" s="22"/>
      <c r="BB28" s="23"/>
      <c r="BC28" s="23"/>
      <c r="BD28" s="23"/>
      <c r="BE28" s="23"/>
      <c r="BF28" s="19"/>
      <c r="BG28" s="19"/>
      <c r="BH28" s="19"/>
      <c r="BI28" s="19"/>
      <c r="BJ28" s="19"/>
      <c r="BK28" s="19"/>
      <c r="BL28" s="19"/>
      <c r="BM28" s="19"/>
      <c r="BN28" s="19"/>
    </row>
    <row r="29" spans="1:66" ht="27" customHeight="1" x14ac:dyDescent="0.2">
      <c r="A29" s="286" t="s">
        <v>491</v>
      </c>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0"/>
      <c r="Z29" s="20"/>
      <c r="AA29" s="20"/>
      <c r="AB29" s="20"/>
      <c r="AC29" s="20"/>
      <c r="AD29" s="20"/>
      <c r="AE29" s="20"/>
      <c r="AF29" s="20"/>
      <c r="AG29" s="20"/>
      <c r="AH29" s="20"/>
      <c r="AI29" s="20"/>
      <c r="AJ29" s="20"/>
      <c r="AK29" s="20"/>
      <c r="AL29" s="20"/>
    </row>
    <row r="30" spans="1:66" s="77" customFormat="1" x14ac:dyDescent="0.2">
      <c r="A30" s="120"/>
      <c r="B30" s="120"/>
      <c r="C30" s="120"/>
      <c r="D30" s="120"/>
      <c r="E30" s="120"/>
      <c r="F30" s="120"/>
      <c r="G30" s="120"/>
      <c r="H30" s="120"/>
      <c r="I30" s="120"/>
      <c r="J30" s="120"/>
      <c r="K30" s="120"/>
      <c r="L30" s="120"/>
      <c r="M30" s="120"/>
      <c r="N30" s="120"/>
      <c r="O30" s="120"/>
      <c r="P30" s="120"/>
      <c r="Q30" s="120"/>
      <c r="R30" s="120"/>
      <c r="S30" s="120"/>
      <c r="T30" s="120"/>
      <c r="U30" s="120"/>
      <c r="V30" s="120"/>
      <c r="W30" s="120"/>
      <c r="X30" s="120"/>
      <c r="Y30" s="74"/>
      <c r="Z30" s="74"/>
      <c r="AA30" s="74"/>
      <c r="AB30" s="74"/>
      <c r="AC30" s="74"/>
      <c r="AD30" s="74"/>
      <c r="AE30" s="74"/>
      <c r="AF30" s="74"/>
      <c r="AG30" s="74"/>
      <c r="AH30" s="74"/>
      <c r="AI30" s="74"/>
      <c r="AJ30" s="74"/>
      <c r="AK30" s="75"/>
      <c r="AL30" s="76"/>
    </row>
    <row r="31" spans="1:66" s="181" customFormat="1" ht="17.25" customHeight="1" x14ac:dyDescent="0.25">
      <c r="A31" s="298" t="s">
        <v>542</v>
      </c>
      <c r="B31" s="298"/>
      <c r="C31" s="298"/>
      <c r="D31" s="298"/>
      <c r="E31" s="298"/>
      <c r="F31" s="298"/>
      <c r="G31" s="304"/>
      <c r="H31" s="304"/>
      <c r="I31" s="304"/>
      <c r="J31" s="304"/>
      <c r="K31" s="180"/>
      <c r="L31" s="48"/>
      <c r="M31" s="48"/>
      <c r="N31" s="48"/>
      <c r="O31" s="299"/>
      <c r="P31" s="299"/>
      <c r="Q31" s="299"/>
      <c r="R31" s="179"/>
      <c r="S31" s="179"/>
      <c r="T31" s="179"/>
      <c r="U31" s="179"/>
      <c r="V31" s="179"/>
      <c r="W31" s="179"/>
      <c r="X31" s="179"/>
    </row>
    <row r="32" spans="1:66" s="181" customFormat="1" ht="16.899999999999999" customHeight="1" x14ac:dyDescent="0.25">
      <c r="A32" s="179"/>
      <c r="B32" s="179"/>
      <c r="C32" s="179"/>
      <c r="D32" s="179"/>
      <c r="E32" s="179"/>
      <c r="F32" s="179"/>
      <c r="G32" s="301" t="s">
        <v>538</v>
      </c>
      <c r="H32" s="301"/>
      <c r="I32" s="301"/>
      <c r="J32" s="301"/>
      <c r="K32" s="179"/>
      <c r="L32" s="179"/>
      <c r="M32" s="179"/>
      <c r="N32" s="179"/>
      <c r="O32" s="301" t="s">
        <v>539</v>
      </c>
      <c r="P32" s="301"/>
      <c r="Q32" s="301"/>
      <c r="R32" s="179"/>
      <c r="S32" s="179"/>
      <c r="T32" s="179"/>
      <c r="U32" s="179"/>
      <c r="V32" s="179"/>
      <c r="W32" s="179"/>
      <c r="X32" s="179"/>
    </row>
    <row r="33" spans="1:26" customFormat="1" ht="18.75" customHeight="1" x14ac:dyDescent="0.25">
      <c r="A33" s="298" t="s">
        <v>540</v>
      </c>
      <c r="B33" s="298"/>
      <c r="C33" s="298"/>
      <c r="D33" s="298"/>
      <c r="E33" s="298"/>
      <c r="F33" s="298"/>
      <c r="G33" s="299"/>
      <c r="H33" s="299"/>
      <c r="I33" s="299"/>
      <c r="J33" s="299"/>
      <c r="K33" s="182"/>
      <c r="L33" s="299"/>
      <c r="M33" s="299"/>
      <c r="N33" s="299"/>
      <c r="O33" s="299"/>
      <c r="P33" s="183"/>
      <c r="Q33" s="300"/>
      <c r="R33" s="300"/>
      <c r="S33" s="300"/>
      <c r="T33" s="300"/>
      <c r="U33" s="178"/>
      <c r="V33" s="178"/>
      <c r="W33" s="178"/>
      <c r="X33" s="178"/>
      <c r="Y33" s="178"/>
      <c r="Z33" s="178"/>
    </row>
    <row r="34" spans="1:26" customFormat="1" ht="15" customHeight="1" x14ac:dyDescent="0.25">
      <c r="A34" s="184"/>
      <c r="B34" s="184"/>
      <c r="C34" s="184"/>
      <c r="D34" s="184"/>
      <c r="E34" s="78"/>
      <c r="F34" s="78"/>
      <c r="G34" s="301" t="s">
        <v>538</v>
      </c>
      <c r="H34" s="301"/>
      <c r="I34" s="301"/>
      <c r="J34" s="301"/>
      <c r="K34" s="185"/>
      <c r="L34" s="302" t="s">
        <v>304</v>
      </c>
      <c r="M34" s="302"/>
      <c r="N34" s="302"/>
      <c r="O34" s="302"/>
      <c r="P34" s="138"/>
      <c r="Q34" s="303" t="s">
        <v>541</v>
      </c>
      <c r="R34" s="303"/>
      <c r="S34" s="303"/>
      <c r="T34" s="303"/>
      <c r="U34" s="178"/>
      <c r="V34" s="178"/>
      <c r="W34" s="178"/>
      <c r="X34" s="178"/>
      <c r="Y34" s="178"/>
      <c r="Z34" s="178"/>
    </row>
    <row r="35" spans="1:26" x14ac:dyDescent="0.2">
      <c r="A35" s="20"/>
      <c r="B35" s="20"/>
      <c r="C35" s="20"/>
      <c r="D35" s="39"/>
      <c r="E35" s="40"/>
      <c r="F35" s="40"/>
      <c r="G35" s="40"/>
      <c r="H35" s="40"/>
      <c r="I35" s="40"/>
      <c r="J35" s="40"/>
      <c r="K35" s="40"/>
      <c r="L35" s="40"/>
      <c r="M35" s="40"/>
      <c r="N35" s="40"/>
      <c r="O35" s="40"/>
      <c r="P35" s="40"/>
      <c r="Q35" s="40"/>
      <c r="R35" s="40"/>
      <c r="S35" s="40"/>
      <c r="T35" s="40"/>
      <c r="U35" s="20"/>
      <c r="V35" s="20"/>
      <c r="W35" s="20"/>
      <c r="X35" s="20"/>
    </row>
  </sheetData>
  <mergeCells count="67">
    <mergeCell ref="A33:F33"/>
    <mergeCell ref="G33:J33"/>
    <mergeCell ref="L33:O33"/>
    <mergeCell ref="Q33:T33"/>
    <mergeCell ref="G34:J34"/>
    <mergeCell ref="L34:O34"/>
    <mergeCell ref="Q34:T34"/>
    <mergeCell ref="A31:F31"/>
    <mergeCell ref="G31:J31"/>
    <mergeCell ref="O31:Q31"/>
    <mergeCell ref="G32:J32"/>
    <mergeCell ref="O32:Q32"/>
    <mergeCell ref="AF7:AG11"/>
    <mergeCell ref="AH7:AI9"/>
    <mergeCell ref="A1:AB1"/>
    <mergeCell ref="A2:Y2"/>
    <mergeCell ref="U7:U12"/>
    <mergeCell ref="O11:O12"/>
    <mergeCell ref="P11:P12"/>
    <mergeCell ref="M7:N11"/>
    <mergeCell ref="O7:P10"/>
    <mergeCell ref="Q7:R11"/>
    <mergeCell ref="S7:S12"/>
    <mergeCell ref="B7:B12"/>
    <mergeCell ref="C7:C12"/>
    <mergeCell ref="E10:E12"/>
    <mergeCell ref="F10:F12"/>
    <mergeCell ref="AD7:AE11"/>
    <mergeCell ref="AC7:AC12"/>
    <mergeCell ref="G7:G12"/>
    <mergeCell ref="I7:J11"/>
    <mergeCell ref="A26:B26"/>
    <mergeCell ref="D7:D12"/>
    <mergeCell ref="E7:F9"/>
    <mergeCell ref="H7:H12"/>
    <mergeCell ref="T7:T12"/>
    <mergeCell ref="Z7:AA11"/>
    <mergeCell ref="AB7:AB12"/>
    <mergeCell ref="A25:W25"/>
    <mergeCell ref="V7:W11"/>
    <mergeCell ref="K7:L11"/>
    <mergeCell ref="X7:Y11"/>
    <mergeCell ref="B4:C5"/>
    <mergeCell ref="E4:I4"/>
    <mergeCell ref="K4:K5"/>
    <mergeCell ref="E5:I5"/>
    <mergeCell ref="A29:X29"/>
    <mergeCell ref="A7:A12"/>
    <mergeCell ref="A27:X27"/>
    <mergeCell ref="A28:X28"/>
    <mergeCell ref="A24:W24"/>
    <mergeCell ref="AV7:AV12"/>
    <mergeCell ref="AW7:AW12"/>
    <mergeCell ref="AO8:AO12"/>
    <mergeCell ref="AP8:AP12"/>
    <mergeCell ref="AH10:AH12"/>
    <mergeCell ref="AI10:AI12"/>
    <mergeCell ref="AQ7:AQ12"/>
    <mergeCell ref="AR7:AR12"/>
    <mergeCell ref="AS7:AS12"/>
    <mergeCell ref="AT7:AT12"/>
    <mergeCell ref="AU7:AU12"/>
    <mergeCell ref="AJ7:AJ12"/>
    <mergeCell ref="AM7:AM12"/>
    <mergeCell ref="AO7:AP7"/>
    <mergeCell ref="AN7:AN12"/>
    <mergeCell ref="AK7:AL11"/>
  </mergeCells>
  <dataValidations count="1">
    <dataValidation type="custom" allowBlank="1" showInputMessage="1" showErrorMessage="1" error="Cuantumul plăţilor cu caracter stimulator din contul veniturilor colectate plătite lunar unui angajat nu va depăşi salariul lui de funcţie, ţinîndu-se cont de sporul pentru vechime în muncă." sqref="AS15:AS17 AS19:AS23">
      <formula1>AS15&lt;=(H15+J15)*12</formula1>
    </dataValidation>
  </dataValidations>
  <printOptions horizontalCentered="1"/>
  <pageMargins left="0" right="0" top="0" bottom="0" header="0.31496062992126" footer="0.31496062992126"/>
  <pageSetup paperSize="8" scale="70" fitToWidth="2" fitToHeight="80" orientation="landscape" r:id="rId1"/>
  <headerFooter>
    <oddHeader>&amp;R&amp;10Tabel nr.9</oddHeader>
    <oddFooter>&amp;R&amp;"-,полужирный"&amp;8&amp;P</oddFooter>
  </headerFooter>
  <colBreaks count="1" manualBreakCount="1">
    <brk id="32" max="35" man="1"/>
  </col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F35"/>
  <sheetViews>
    <sheetView showZeros="0" view="pageBreakPreview" zoomScale="70" zoomScaleNormal="71" zoomScaleSheetLayoutView="70" workbookViewId="0">
      <pane xSplit="2" ySplit="13" topLeftCell="C14" activePane="bottomRight" state="frozen"/>
      <selection pane="topRight" activeCell="C1" sqref="C1"/>
      <selection pane="bottomLeft" activeCell="A14" sqref="A14"/>
      <selection pane="bottomRight" activeCell="E18" sqref="E18:F18"/>
    </sheetView>
  </sheetViews>
  <sheetFormatPr defaultColWidth="8.85546875" defaultRowHeight="12.75" x14ac:dyDescent="0.2"/>
  <cols>
    <col min="1" max="1" width="6.140625" style="21" customWidth="1"/>
    <col min="2" max="2" width="14" style="21" customWidth="1"/>
    <col min="3" max="4" width="5.5703125" style="21" customWidth="1"/>
    <col min="5" max="5" width="8.28515625" style="21" customWidth="1"/>
    <col min="6" max="6" width="9.5703125" style="21" customWidth="1"/>
    <col min="7" max="7" width="14.7109375" style="21" customWidth="1"/>
    <col min="8" max="8" width="10.28515625" style="21" customWidth="1"/>
    <col min="9" max="9" width="5.7109375" style="21" customWidth="1"/>
    <col min="10" max="10" width="7.7109375" style="21" customWidth="1"/>
    <col min="11" max="11" width="10.140625" style="21" customWidth="1"/>
    <col min="12" max="12" width="7.140625" style="21" customWidth="1"/>
    <col min="13" max="13" width="10.7109375" style="21" customWidth="1"/>
    <col min="14" max="14" width="6.7109375" style="21" customWidth="1"/>
    <col min="15" max="15" width="7.42578125" style="21" customWidth="1"/>
    <col min="16" max="16" width="6.5703125" style="21" customWidth="1"/>
    <col min="17" max="17" width="7.5703125" style="21" customWidth="1"/>
    <col min="18" max="18" width="12.42578125" style="21" customWidth="1"/>
    <col min="19" max="19" width="11.42578125" style="21" customWidth="1"/>
    <col min="20" max="20" width="6.7109375" style="21" customWidth="1"/>
    <col min="21" max="21" width="7.28515625" style="21" customWidth="1"/>
    <col min="22" max="22" width="11.28515625" style="21" customWidth="1"/>
    <col min="23" max="23" width="11.5703125" style="21" customWidth="1"/>
    <col min="24" max="24" width="14.140625" style="21" customWidth="1"/>
    <col min="25" max="25" width="9.140625" style="21" customWidth="1"/>
    <col min="26" max="27" width="10.5703125" style="21" customWidth="1"/>
    <col min="28" max="29" width="11.28515625" style="21" customWidth="1"/>
    <col min="30" max="30" width="11.42578125" style="21" customWidth="1"/>
    <col min="31" max="31" width="10.85546875" style="21" customWidth="1"/>
    <col min="32" max="16384" width="8.85546875" style="21"/>
  </cols>
  <sheetData>
    <row r="1" spans="1:57" s="25" customFormat="1" ht="33" customHeight="1" x14ac:dyDescent="0.25">
      <c r="A1" s="356" t="s">
        <v>549</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27"/>
      <c r="AG1" s="26"/>
      <c r="AH1" s="26"/>
      <c r="AI1" s="26"/>
      <c r="AJ1" s="26"/>
      <c r="AK1" s="26"/>
      <c r="AL1" s="26"/>
      <c r="AM1" s="26"/>
      <c r="AN1" s="26"/>
    </row>
    <row r="2" spans="1:57" x14ac:dyDescent="0.2">
      <c r="A2" s="357" t="s">
        <v>134</v>
      </c>
      <c r="B2" s="357"/>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c r="AC2" s="357"/>
      <c r="AD2" s="357"/>
      <c r="AE2" s="357"/>
      <c r="AF2" s="54"/>
      <c r="AG2" s="54"/>
      <c r="AH2" s="54"/>
      <c r="AI2" s="54"/>
      <c r="AJ2" s="55"/>
      <c r="AK2" s="55"/>
      <c r="AL2" s="55"/>
      <c r="AM2" s="55"/>
      <c r="AN2" s="55"/>
      <c r="AO2" s="20"/>
      <c r="AP2" s="20"/>
      <c r="AQ2" s="20"/>
      <c r="AR2" s="20"/>
      <c r="AS2" s="20"/>
      <c r="AT2" s="20"/>
      <c r="AU2" s="20"/>
      <c r="AV2" s="20"/>
      <c r="AW2" s="20"/>
      <c r="AX2" s="20"/>
      <c r="AY2" s="20"/>
      <c r="AZ2" s="20"/>
      <c r="BA2" s="20"/>
      <c r="BB2" s="20"/>
      <c r="BC2" s="20"/>
      <c r="BD2" s="20"/>
      <c r="BE2" s="20"/>
    </row>
    <row r="3" spans="1:57" x14ac:dyDescent="0.2">
      <c r="A3" s="125"/>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54"/>
      <c r="AG3" s="54"/>
      <c r="AH3" s="54"/>
      <c r="AI3" s="54"/>
      <c r="AJ3" s="55"/>
      <c r="AK3" s="55"/>
      <c r="AL3" s="55"/>
      <c r="AM3" s="55"/>
      <c r="AN3" s="55"/>
      <c r="AO3" s="20"/>
      <c r="AP3" s="20"/>
      <c r="AQ3" s="20"/>
      <c r="AR3" s="20"/>
      <c r="AS3" s="20"/>
      <c r="AT3" s="20"/>
      <c r="AU3" s="20"/>
      <c r="AV3" s="20"/>
      <c r="AW3" s="20"/>
      <c r="AX3" s="20"/>
      <c r="AY3" s="20"/>
      <c r="AZ3" s="20"/>
      <c r="BA3" s="20"/>
      <c r="BB3" s="20"/>
      <c r="BC3" s="20"/>
      <c r="BD3" s="20"/>
      <c r="BE3" s="20"/>
    </row>
    <row r="4" spans="1:57" x14ac:dyDescent="0.2">
      <c r="A4" s="125"/>
      <c r="B4" s="350" t="s">
        <v>307</v>
      </c>
      <c r="C4" s="350"/>
      <c r="D4" s="79"/>
      <c r="E4" s="289" t="s">
        <v>308</v>
      </c>
      <c r="F4" s="289"/>
      <c r="G4" s="289"/>
      <c r="H4" s="289"/>
      <c r="I4" s="289"/>
      <c r="J4" s="75"/>
      <c r="K4" s="296" t="s">
        <v>164</v>
      </c>
      <c r="L4" s="80" t="s">
        <v>309</v>
      </c>
      <c r="M4" s="80" t="s">
        <v>310</v>
      </c>
      <c r="N4" s="80" t="s">
        <v>311</v>
      </c>
      <c r="O4" s="80" t="s">
        <v>312</v>
      </c>
      <c r="P4" s="80" t="s">
        <v>313</v>
      </c>
      <c r="Q4" s="125"/>
      <c r="R4" s="125"/>
      <c r="S4" s="125"/>
      <c r="T4" s="125"/>
      <c r="U4" s="125"/>
      <c r="V4" s="125"/>
      <c r="W4" s="125"/>
      <c r="X4" s="125"/>
      <c r="Y4" s="125"/>
      <c r="Z4" s="125"/>
      <c r="AA4" s="125"/>
      <c r="AB4" s="125"/>
      <c r="AC4" s="125"/>
      <c r="AD4" s="125"/>
      <c r="AE4" s="125"/>
      <c r="AF4" s="54"/>
      <c r="AG4" s="54"/>
      <c r="AH4" s="54"/>
      <c r="AI4" s="54"/>
      <c r="AJ4" s="55"/>
      <c r="AK4" s="55"/>
      <c r="AL4" s="55"/>
      <c r="AM4" s="55"/>
      <c r="AN4" s="55"/>
      <c r="AO4" s="20"/>
      <c r="AP4" s="20"/>
      <c r="AQ4" s="20"/>
      <c r="AR4" s="20"/>
      <c r="AS4" s="20"/>
      <c r="AT4" s="20"/>
      <c r="AU4" s="20"/>
      <c r="AV4" s="20"/>
      <c r="AW4" s="20"/>
      <c r="AX4" s="20"/>
      <c r="AY4" s="20"/>
      <c r="AZ4" s="20"/>
      <c r="BA4" s="20"/>
      <c r="BB4" s="20"/>
      <c r="BC4" s="20"/>
      <c r="BD4" s="20"/>
      <c r="BE4" s="20"/>
    </row>
    <row r="5" spans="1:57" x14ac:dyDescent="0.2">
      <c r="B5" s="350"/>
      <c r="C5" s="350"/>
      <c r="D5" s="32"/>
      <c r="E5" s="290" t="s">
        <v>314</v>
      </c>
      <c r="F5" s="290"/>
      <c r="G5" s="290"/>
      <c r="H5" s="290"/>
      <c r="I5" s="290"/>
      <c r="J5" s="32"/>
      <c r="K5" s="296"/>
      <c r="L5" s="81"/>
      <c r="M5" s="81"/>
      <c r="N5" s="81"/>
      <c r="O5" s="81"/>
      <c r="P5" s="81"/>
      <c r="R5" s="29"/>
      <c r="S5" s="29"/>
      <c r="T5" s="29"/>
      <c r="V5" s="29"/>
      <c r="Y5" s="29"/>
      <c r="Z5" s="30"/>
      <c r="AA5" s="30"/>
    </row>
    <row r="6" spans="1:57" x14ac:dyDescent="0.2">
      <c r="A6" s="32"/>
      <c r="B6" s="32"/>
      <c r="C6" s="32"/>
      <c r="D6" s="32"/>
      <c r="E6" s="32"/>
      <c r="F6" s="32"/>
      <c r="G6" s="32"/>
      <c r="H6" s="32"/>
      <c r="I6" s="32"/>
      <c r="J6" s="34"/>
      <c r="K6" s="32"/>
      <c r="L6" s="32"/>
      <c r="M6" s="34"/>
      <c r="N6" s="34"/>
      <c r="O6" s="34"/>
      <c r="P6" s="34"/>
      <c r="Q6" s="34"/>
      <c r="R6" s="34"/>
      <c r="S6" s="34"/>
      <c r="T6" s="32"/>
      <c r="W6" s="32"/>
      <c r="X6" s="32"/>
      <c r="Y6" s="32"/>
      <c r="Z6" s="32"/>
      <c r="AA6" s="32"/>
      <c r="AB6" s="32"/>
      <c r="AC6" s="32"/>
      <c r="AD6" s="32"/>
      <c r="AE6" s="32"/>
    </row>
    <row r="7" spans="1:57" ht="72.599999999999994" customHeight="1" x14ac:dyDescent="0.2">
      <c r="A7" s="293" t="s">
        <v>2</v>
      </c>
      <c r="B7" s="293" t="s">
        <v>88</v>
      </c>
      <c r="C7" s="305" t="s">
        <v>0</v>
      </c>
      <c r="D7" s="305" t="s">
        <v>38</v>
      </c>
      <c r="E7" s="293" t="s">
        <v>466</v>
      </c>
      <c r="F7" s="293"/>
      <c r="G7" s="317" t="s">
        <v>293</v>
      </c>
      <c r="H7" s="293" t="s">
        <v>208</v>
      </c>
      <c r="I7" s="293" t="s">
        <v>219</v>
      </c>
      <c r="J7" s="293"/>
      <c r="K7" s="293" t="s">
        <v>195</v>
      </c>
      <c r="L7" s="293"/>
      <c r="M7" s="293" t="s">
        <v>180</v>
      </c>
      <c r="N7" s="293" t="s">
        <v>220</v>
      </c>
      <c r="O7" s="293"/>
      <c r="P7" s="293" t="s">
        <v>221</v>
      </c>
      <c r="Q7" s="293"/>
      <c r="R7" s="359" t="s">
        <v>222</v>
      </c>
      <c r="S7" s="359" t="s">
        <v>223</v>
      </c>
      <c r="T7" s="293" t="s">
        <v>467</v>
      </c>
      <c r="U7" s="293"/>
      <c r="V7" s="293" t="s">
        <v>184</v>
      </c>
      <c r="W7" s="293" t="s">
        <v>224</v>
      </c>
      <c r="X7" s="293"/>
      <c r="Y7" s="293" t="s">
        <v>187</v>
      </c>
      <c r="Z7" s="317" t="s">
        <v>64</v>
      </c>
      <c r="AA7" s="317" t="s">
        <v>372</v>
      </c>
      <c r="AB7" s="293" t="s">
        <v>188</v>
      </c>
      <c r="AC7" s="320" t="s">
        <v>166</v>
      </c>
      <c r="AD7" s="320" t="s">
        <v>167</v>
      </c>
      <c r="AE7" s="293" t="s">
        <v>332</v>
      </c>
    </row>
    <row r="8" spans="1:57" ht="21.6" customHeight="1" x14ac:dyDescent="0.2">
      <c r="A8" s="293"/>
      <c r="B8" s="293"/>
      <c r="C8" s="305"/>
      <c r="D8" s="305"/>
      <c r="E8" s="293"/>
      <c r="F8" s="293"/>
      <c r="G8" s="319"/>
      <c r="H8" s="293"/>
      <c r="I8" s="293"/>
      <c r="J8" s="293"/>
      <c r="K8" s="293"/>
      <c r="L8" s="293"/>
      <c r="M8" s="293"/>
      <c r="N8" s="293"/>
      <c r="O8" s="293"/>
      <c r="P8" s="293"/>
      <c r="Q8" s="293"/>
      <c r="R8" s="360"/>
      <c r="S8" s="360"/>
      <c r="T8" s="293"/>
      <c r="U8" s="293"/>
      <c r="V8" s="293"/>
      <c r="W8" s="293" t="s">
        <v>15</v>
      </c>
      <c r="X8" s="320" t="s">
        <v>306</v>
      </c>
      <c r="Y8" s="293"/>
      <c r="Z8" s="319"/>
      <c r="AA8" s="319"/>
      <c r="AB8" s="293"/>
      <c r="AC8" s="320"/>
      <c r="AD8" s="320"/>
      <c r="AE8" s="293"/>
    </row>
    <row r="9" spans="1:57" ht="25.15" customHeight="1" x14ac:dyDescent="0.2">
      <c r="A9" s="293"/>
      <c r="B9" s="293"/>
      <c r="C9" s="305"/>
      <c r="D9" s="305"/>
      <c r="E9" s="293"/>
      <c r="F9" s="293"/>
      <c r="G9" s="319"/>
      <c r="H9" s="293"/>
      <c r="I9" s="293"/>
      <c r="J9" s="293"/>
      <c r="K9" s="293"/>
      <c r="L9" s="293"/>
      <c r="M9" s="293"/>
      <c r="N9" s="293"/>
      <c r="O9" s="293"/>
      <c r="P9" s="293"/>
      <c r="Q9" s="293"/>
      <c r="R9" s="360"/>
      <c r="S9" s="360"/>
      <c r="T9" s="293"/>
      <c r="U9" s="293"/>
      <c r="V9" s="293"/>
      <c r="W9" s="293"/>
      <c r="X9" s="320"/>
      <c r="Y9" s="293"/>
      <c r="Z9" s="319"/>
      <c r="AA9" s="319"/>
      <c r="AB9" s="293"/>
      <c r="AC9" s="320"/>
      <c r="AD9" s="320"/>
      <c r="AE9" s="293"/>
    </row>
    <row r="10" spans="1:57" ht="45.6" customHeight="1" x14ac:dyDescent="0.2">
      <c r="A10" s="293"/>
      <c r="B10" s="293"/>
      <c r="C10" s="305"/>
      <c r="D10" s="305"/>
      <c r="E10" s="293" t="s">
        <v>21</v>
      </c>
      <c r="F10" s="293" t="s">
        <v>22</v>
      </c>
      <c r="G10" s="319"/>
      <c r="H10" s="293"/>
      <c r="I10" s="293"/>
      <c r="J10" s="293"/>
      <c r="K10" s="293"/>
      <c r="L10" s="293"/>
      <c r="M10" s="293"/>
      <c r="N10" s="293"/>
      <c r="O10" s="293"/>
      <c r="P10" s="293"/>
      <c r="Q10" s="293"/>
      <c r="R10" s="360"/>
      <c r="S10" s="360"/>
      <c r="T10" s="293"/>
      <c r="U10" s="293"/>
      <c r="V10" s="293"/>
      <c r="W10" s="293"/>
      <c r="X10" s="320"/>
      <c r="Y10" s="293"/>
      <c r="Z10" s="319"/>
      <c r="AA10" s="319"/>
      <c r="AB10" s="293"/>
      <c r="AC10" s="320"/>
      <c r="AD10" s="320"/>
      <c r="AE10" s="293"/>
    </row>
    <row r="11" spans="1:57" ht="24" customHeight="1" x14ac:dyDescent="0.2">
      <c r="A11" s="293"/>
      <c r="B11" s="293"/>
      <c r="C11" s="305"/>
      <c r="D11" s="305"/>
      <c r="E11" s="293"/>
      <c r="F11" s="293"/>
      <c r="G11" s="319"/>
      <c r="H11" s="293"/>
      <c r="I11" s="293"/>
      <c r="J11" s="293"/>
      <c r="K11" s="324" t="s">
        <v>10</v>
      </c>
      <c r="L11" s="293" t="s">
        <v>142</v>
      </c>
      <c r="M11" s="293"/>
      <c r="N11" s="293"/>
      <c r="O11" s="293"/>
      <c r="P11" s="293"/>
      <c r="Q11" s="293"/>
      <c r="R11" s="360"/>
      <c r="S11" s="360"/>
      <c r="T11" s="293"/>
      <c r="U11" s="293"/>
      <c r="V11" s="293"/>
      <c r="W11" s="293"/>
      <c r="X11" s="320"/>
      <c r="Y11" s="293"/>
      <c r="Z11" s="319"/>
      <c r="AA11" s="319"/>
      <c r="AB11" s="293"/>
      <c r="AC11" s="320"/>
      <c r="AD11" s="320"/>
      <c r="AE11" s="293"/>
    </row>
    <row r="12" spans="1:57" ht="26.25" customHeight="1" x14ac:dyDescent="0.2">
      <c r="A12" s="293"/>
      <c r="B12" s="293"/>
      <c r="C12" s="305"/>
      <c r="D12" s="305"/>
      <c r="E12" s="293"/>
      <c r="F12" s="293"/>
      <c r="G12" s="318"/>
      <c r="H12" s="293"/>
      <c r="I12" s="117" t="s">
        <v>1</v>
      </c>
      <c r="J12" s="117" t="s">
        <v>142</v>
      </c>
      <c r="K12" s="324"/>
      <c r="L12" s="293"/>
      <c r="M12" s="293"/>
      <c r="N12" s="123" t="s">
        <v>1</v>
      </c>
      <c r="O12" s="117" t="s">
        <v>142</v>
      </c>
      <c r="P12" s="123" t="s">
        <v>1</v>
      </c>
      <c r="Q12" s="117" t="s">
        <v>142</v>
      </c>
      <c r="R12" s="361"/>
      <c r="S12" s="361"/>
      <c r="T12" s="123" t="s">
        <v>1</v>
      </c>
      <c r="U12" s="117" t="s">
        <v>142</v>
      </c>
      <c r="V12" s="293"/>
      <c r="W12" s="293"/>
      <c r="X12" s="320"/>
      <c r="Y12" s="293"/>
      <c r="Z12" s="318"/>
      <c r="AA12" s="318"/>
      <c r="AB12" s="293"/>
      <c r="AC12" s="320"/>
      <c r="AD12" s="320"/>
      <c r="AE12" s="293"/>
    </row>
    <row r="13" spans="1:57" s="66" customFormat="1" ht="45" customHeight="1" x14ac:dyDescent="0.25">
      <c r="A13" s="13">
        <v>1</v>
      </c>
      <c r="B13" s="13">
        <v>2</v>
      </c>
      <c r="C13" s="13">
        <v>3</v>
      </c>
      <c r="D13" s="13">
        <v>4</v>
      </c>
      <c r="E13" s="13">
        <v>5</v>
      </c>
      <c r="F13" s="13" t="s">
        <v>12</v>
      </c>
      <c r="G13" s="13">
        <v>7</v>
      </c>
      <c r="H13" s="13" t="s">
        <v>24</v>
      </c>
      <c r="I13" s="14">
        <v>9</v>
      </c>
      <c r="J13" s="14" t="s">
        <v>36</v>
      </c>
      <c r="K13" s="13">
        <v>11</v>
      </c>
      <c r="L13" s="13">
        <v>12</v>
      </c>
      <c r="M13" s="13" t="s">
        <v>49</v>
      </c>
      <c r="N13" s="13">
        <v>14</v>
      </c>
      <c r="O13" s="13" t="s">
        <v>50</v>
      </c>
      <c r="P13" s="13">
        <v>16</v>
      </c>
      <c r="Q13" s="13" t="s">
        <v>51</v>
      </c>
      <c r="R13" s="56" t="s">
        <v>52</v>
      </c>
      <c r="S13" s="56" t="s">
        <v>53</v>
      </c>
      <c r="T13" s="13">
        <v>20</v>
      </c>
      <c r="U13" s="13">
        <v>21</v>
      </c>
      <c r="V13" s="13" t="s">
        <v>54</v>
      </c>
      <c r="W13" s="14" t="s">
        <v>55</v>
      </c>
      <c r="X13" s="16">
        <v>24</v>
      </c>
      <c r="Y13" s="13" t="s">
        <v>66</v>
      </c>
      <c r="Z13" s="13" t="s">
        <v>65</v>
      </c>
      <c r="AA13" s="13">
        <v>27</v>
      </c>
      <c r="AB13" s="13" t="s">
        <v>383</v>
      </c>
      <c r="AC13" s="16" t="s">
        <v>381</v>
      </c>
      <c r="AD13" s="16" t="s">
        <v>468</v>
      </c>
      <c r="AE13" s="13" t="s">
        <v>382</v>
      </c>
    </row>
    <row r="14" spans="1:57" s="87" customFormat="1" ht="28.5" customHeight="1" x14ac:dyDescent="0.2">
      <c r="A14" s="84"/>
      <c r="B14" s="88" t="s">
        <v>320</v>
      </c>
      <c r="C14" s="84"/>
      <c r="D14" s="116">
        <f>SUM(D15:D23)</f>
        <v>1</v>
      </c>
      <c r="E14" s="256">
        <f>SUM(E15:E23)</f>
        <v>1140</v>
      </c>
      <c r="F14" s="256">
        <f t="shared" ref="F14:AE14" si="0">SUM(F15:F23)</f>
        <v>1140</v>
      </c>
      <c r="G14" s="256">
        <f t="shared" si="0"/>
        <v>1.1499999999999999</v>
      </c>
      <c r="H14" s="256">
        <f t="shared" si="0"/>
        <v>1311</v>
      </c>
      <c r="I14" s="260"/>
      <c r="J14" s="256">
        <f t="shared" si="0"/>
        <v>327.75</v>
      </c>
      <c r="K14" s="258">
        <f t="shared" si="0"/>
        <v>0</v>
      </c>
      <c r="L14" s="256">
        <f t="shared" si="0"/>
        <v>0</v>
      </c>
      <c r="M14" s="256">
        <f t="shared" si="0"/>
        <v>0</v>
      </c>
      <c r="N14" s="260"/>
      <c r="O14" s="256">
        <f t="shared" si="0"/>
        <v>327.8</v>
      </c>
      <c r="P14" s="260">
        <f t="shared" si="0"/>
        <v>0</v>
      </c>
      <c r="Q14" s="256">
        <f t="shared" si="0"/>
        <v>0</v>
      </c>
      <c r="R14" s="256">
        <f t="shared" si="0"/>
        <v>491.6</v>
      </c>
      <c r="S14" s="256">
        <f t="shared" si="0"/>
        <v>819.4</v>
      </c>
      <c r="T14" s="256">
        <f t="shared" si="0"/>
        <v>0</v>
      </c>
      <c r="U14" s="256">
        <f t="shared" si="0"/>
        <v>0</v>
      </c>
      <c r="V14" s="262">
        <f t="shared" si="0"/>
        <v>3277.6</v>
      </c>
      <c r="W14" s="262">
        <f t="shared" si="0"/>
        <v>3277.6</v>
      </c>
      <c r="X14" s="262">
        <f t="shared" si="0"/>
        <v>3277.6</v>
      </c>
      <c r="Y14" s="262">
        <f t="shared" si="0"/>
        <v>1311</v>
      </c>
      <c r="Z14" s="262">
        <f t="shared" si="0"/>
        <v>109.3</v>
      </c>
      <c r="AA14" s="262">
        <f t="shared" si="0"/>
        <v>0</v>
      </c>
      <c r="AB14" s="262">
        <f t="shared" si="0"/>
        <v>44</v>
      </c>
      <c r="AC14" s="262">
        <f t="shared" si="0"/>
        <v>9.4</v>
      </c>
      <c r="AD14" s="262">
        <f t="shared" si="0"/>
        <v>2</v>
      </c>
      <c r="AE14" s="262">
        <f t="shared" si="0"/>
        <v>55.4</v>
      </c>
      <c r="AF14" s="84"/>
      <c r="AG14" s="84"/>
      <c r="AH14" s="84"/>
      <c r="AI14" s="84"/>
      <c r="AJ14" s="84"/>
      <c r="AK14" s="84"/>
      <c r="AL14" s="84"/>
      <c r="AM14" s="84"/>
      <c r="AN14" s="84"/>
      <c r="AO14" s="84"/>
      <c r="AP14" s="84"/>
    </row>
    <row r="15" spans="1:57" s="142" customFormat="1" ht="14.45" customHeight="1" x14ac:dyDescent="0.2">
      <c r="A15" s="140">
        <v>1</v>
      </c>
      <c r="B15" s="146" t="s">
        <v>395</v>
      </c>
      <c r="C15" s="140">
        <v>4</v>
      </c>
      <c r="D15" s="140">
        <v>1</v>
      </c>
      <c r="E15" s="165">
        <v>1140</v>
      </c>
      <c r="F15" s="165">
        <f>D15*E15</f>
        <v>1140</v>
      </c>
      <c r="G15" s="165">
        <v>1.1499999999999999</v>
      </c>
      <c r="H15" s="165">
        <f>F15*G15</f>
        <v>1311</v>
      </c>
      <c r="I15" s="249">
        <v>0.25</v>
      </c>
      <c r="J15" s="165">
        <f>H15*I15</f>
        <v>327.75</v>
      </c>
      <c r="K15" s="251"/>
      <c r="L15" s="165"/>
      <c r="M15" s="165"/>
      <c r="N15" s="249">
        <v>0.25</v>
      </c>
      <c r="O15" s="165">
        <f>ROUND(H15*N15,1)</f>
        <v>327.8</v>
      </c>
      <c r="P15" s="249"/>
      <c r="Q15" s="165">
        <f>H15*P15</f>
        <v>0</v>
      </c>
      <c r="R15" s="165">
        <f>ROUND((H15+J15)*0.3,1)</f>
        <v>491.6</v>
      </c>
      <c r="S15" s="165">
        <f>ROUND((H15+J15)*50%,1)</f>
        <v>819.4</v>
      </c>
      <c r="T15" s="249"/>
      <c r="U15" s="165"/>
      <c r="V15" s="254">
        <f>ROUND(H15+J15+L15+M15+O15+Q15+R15+S15+U15,1)</f>
        <v>3277.6</v>
      </c>
      <c r="W15" s="254">
        <f>V15</f>
        <v>3277.6</v>
      </c>
      <c r="X15" s="255">
        <f>IF(W15&gt;6650*D15,6650*D15,W15)</f>
        <v>3277.6</v>
      </c>
      <c r="Y15" s="254">
        <f>H15</f>
        <v>1311</v>
      </c>
      <c r="Z15" s="254">
        <f>ROUND(Y15/12,1)</f>
        <v>109.3</v>
      </c>
      <c r="AA15" s="254"/>
      <c r="AB15" s="254">
        <f>ROUND((V15*12+AA15+Z15+Y15+W15)/1000,1)</f>
        <v>44</v>
      </c>
      <c r="AC15" s="254">
        <f>ROUND((AB15-X15/1000)*23%,1)</f>
        <v>9.4</v>
      </c>
      <c r="AD15" s="254">
        <f>ROUND(AB15*4.5%,1)</f>
        <v>2</v>
      </c>
      <c r="AE15" s="254">
        <f>SUM(AB15:AD15)</f>
        <v>55.4</v>
      </c>
    </row>
    <row r="16" spans="1:57" x14ac:dyDescent="0.2">
      <c r="A16" s="18">
        <v>2</v>
      </c>
      <c r="B16" s="81"/>
      <c r="C16" s="18"/>
      <c r="D16" s="18"/>
      <c r="E16" s="158"/>
      <c r="F16" s="158">
        <f t="shared" ref="F16:F23" si="1">D16*E16</f>
        <v>0</v>
      </c>
      <c r="G16" s="158"/>
      <c r="H16" s="158">
        <f t="shared" ref="H16:H23" si="2">F16*G16</f>
        <v>0</v>
      </c>
      <c r="I16" s="151"/>
      <c r="J16" s="158">
        <f t="shared" ref="J16:J23" si="3">H16*I16</f>
        <v>0</v>
      </c>
      <c r="K16" s="264"/>
      <c r="L16" s="158"/>
      <c r="M16" s="158"/>
      <c r="N16" s="265"/>
      <c r="O16" s="266">
        <f t="shared" ref="O16:O23" si="4">ROUND(H16*N16,1)</f>
        <v>0</v>
      </c>
      <c r="P16" s="151"/>
      <c r="Q16" s="158">
        <f t="shared" ref="Q16:Q23" si="5">H16*P16</f>
        <v>0</v>
      </c>
      <c r="R16" s="158">
        <f t="shared" ref="R16:R23" si="6">ROUND((H16+J16)*0.3,1)</f>
        <v>0</v>
      </c>
      <c r="S16" s="158">
        <f t="shared" ref="S16:S23" si="7">ROUND((H16+J16)*50%,1)</f>
        <v>0</v>
      </c>
      <c r="T16" s="151"/>
      <c r="U16" s="158"/>
      <c r="V16" s="200">
        <f t="shared" ref="V16:V23" si="8">ROUND(H16+J16+L16+M16+O16+Q16+R16+S16+U16,1)</f>
        <v>0</v>
      </c>
      <c r="W16" s="200">
        <f t="shared" ref="W16:W23" si="9">V16</f>
        <v>0</v>
      </c>
      <c r="X16" s="267">
        <f t="shared" ref="X16:X23" si="10">IF(W16&gt;6650*D16,6650*D16,W16)</f>
        <v>0</v>
      </c>
      <c r="Y16" s="200">
        <f t="shared" ref="Y16:Y23" si="11">H16</f>
        <v>0</v>
      </c>
      <c r="Z16" s="200">
        <f t="shared" ref="Z16:Z23" si="12">ROUND(Y16/12,1)</f>
        <v>0</v>
      </c>
      <c r="AA16" s="200"/>
      <c r="AB16" s="200">
        <f t="shared" ref="AB16:AB23" si="13">ROUND((V16*12+AA16+Z16+Y16+W16)/1000,1)</f>
        <v>0</v>
      </c>
      <c r="AC16" s="200">
        <f t="shared" ref="AC16:AC23" si="14">ROUND((AB16-X16/1000)*23%,1)</f>
        <v>0</v>
      </c>
      <c r="AD16" s="200">
        <f t="shared" ref="AD16:AD23" si="15">ROUND(AB16*4.5%,1)</f>
        <v>0</v>
      </c>
      <c r="AE16" s="200">
        <f t="shared" ref="AE16:AE23" si="16">SUM(AB16:AD16)</f>
        <v>0</v>
      </c>
    </row>
    <row r="17" spans="1:58" ht="14.45" customHeight="1" x14ac:dyDescent="0.2">
      <c r="A17" s="18">
        <v>3</v>
      </c>
      <c r="B17" s="81"/>
      <c r="C17" s="18"/>
      <c r="D17" s="18"/>
      <c r="E17" s="158"/>
      <c r="F17" s="158">
        <f t="shared" si="1"/>
        <v>0</v>
      </c>
      <c r="G17" s="158"/>
      <c r="H17" s="158">
        <f t="shared" si="2"/>
        <v>0</v>
      </c>
      <c r="I17" s="151"/>
      <c r="J17" s="158">
        <f t="shared" si="3"/>
        <v>0</v>
      </c>
      <c r="K17" s="264"/>
      <c r="L17" s="158"/>
      <c r="M17" s="158"/>
      <c r="N17" s="265"/>
      <c r="O17" s="266">
        <f t="shared" si="4"/>
        <v>0</v>
      </c>
      <c r="P17" s="151"/>
      <c r="Q17" s="158">
        <f t="shared" si="5"/>
        <v>0</v>
      </c>
      <c r="R17" s="158">
        <f t="shared" si="6"/>
        <v>0</v>
      </c>
      <c r="S17" s="158">
        <f t="shared" si="7"/>
        <v>0</v>
      </c>
      <c r="T17" s="151"/>
      <c r="U17" s="158"/>
      <c r="V17" s="200">
        <f t="shared" si="8"/>
        <v>0</v>
      </c>
      <c r="W17" s="200">
        <f t="shared" si="9"/>
        <v>0</v>
      </c>
      <c r="X17" s="267">
        <f t="shared" si="10"/>
        <v>0</v>
      </c>
      <c r="Y17" s="200">
        <f t="shared" si="11"/>
        <v>0</v>
      </c>
      <c r="Z17" s="200">
        <f t="shared" si="12"/>
        <v>0</v>
      </c>
      <c r="AA17" s="200"/>
      <c r="AB17" s="200">
        <f t="shared" si="13"/>
        <v>0</v>
      </c>
      <c r="AC17" s="200">
        <f t="shared" si="14"/>
        <v>0</v>
      </c>
      <c r="AD17" s="200">
        <f t="shared" si="15"/>
        <v>0</v>
      </c>
      <c r="AE17" s="200">
        <f t="shared" si="16"/>
        <v>0</v>
      </c>
    </row>
    <row r="18" spans="1:58" ht="14.45" customHeight="1" x14ac:dyDescent="0.2">
      <c r="A18" s="18">
        <v>4</v>
      </c>
      <c r="B18" s="81"/>
      <c r="C18" s="18"/>
      <c r="D18" s="18"/>
      <c r="E18" s="158"/>
      <c r="F18" s="158">
        <f t="shared" si="1"/>
        <v>0</v>
      </c>
      <c r="G18" s="158"/>
      <c r="H18" s="158">
        <f t="shared" si="2"/>
        <v>0</v>
      </c>
      <c r="I18" s="151"/>
      <c r="J18" s="158">
        <f t="shared" si="3"/>
        <v>0</v>
      </c>
      <c r="K18" s="264"/>
      <c r="L18" s="158"/>
      <c r="M18" s="158"/>
      <c r="N18" s="265"/>
      <c r="O18" s="266">
        <f t="shared" si="4"/>
        <v>0</v>
      </c>
      <c r="P18" s="151"/>
      <c r="Q18" s="158">
        <f t="shared" si="5"/>
        <v>0</v>
      </c>
      <c r="R18" s="158">
        <f t="shared" si="6"/>
        <v>0</v>
      </c>
      <c r="S18" s="158">
        <f t="shared" si="7"/>
        <v>0</v>
      </c>
      <c r="T18" s="151"/>
      <c r="U18" s="158"/>
      <c r="V18" s="200">
        <f t="shared" si="8"/>
        <v>0</v>
      </c>
      <c r="W18" s="200">
        <f t="shared" si="9"/>
        <v>0</v>
      </c>
      <c r="X18" s="267">
        <f t="shared" si="10"/>
        <v>0</v>
      </c>
      <c r="Y18" s="200">
        <f t="shared" si="11"/>
        <v>0</v>
      </c>
      <c r="Z18" s="200">
        <f t="shared" si="12"/>
        <v>0</v>
      </c>
      <c r="AA18" s="200"/>
      <c r="AB18" s="200">
        <f t="shared" si="13"/>
        <v>0</v>
      </c>
      <c r="AC18" s="200">
        <f t="shared" si="14"/>
        <v>0</v>
      </c>
      <c r="AD18" s="200">
        <f t="shared" si="15"/>
        <v>0</v>
      </c>
      <c r="AE18" s="200">
        <f t="shared" si="16"/>
        <v>0</v>
      </c>
    </row>
    <row r="19" spans="1:58" ht="14.45" customHeight="1" x14ac:dyDescent="0.2">
      <c r="A19" s="18"/>
      <c r="B19" s="81"/>
      <c r="C19" s="18"/>
      <c r="D19" s="18"/>
      <c r="E19" s="158"/>
      <c r="F19" s="158">
        <f t="shared" si="1"/>
        <v>0</v>
      </c>
      <c r="G19" s="158"/>
      <c r="H19" s="158">
        <f t="shared" si="2"/>
        <v>0</v>
      </c>
      <c r="I19" s="151"/>
      <c r="J19" s="158">
        <f t="shared" si="3"/>
        <v>0</v>
      </c>
      <c r="K19" s="264"/>
      <c r="L19" s="158"/>
      <c r="M19" s="158"/>
      <c r="N19" s="265"/>
      <c r="O19" s="266">
        <f t="shared" si="4"/>
        <v>0</v>
      </c>
      <c r="P19" s="151"/>
      <c r="Q19" s="158">
        <f t="shared" si="5"/>
        <v>0</v>
      </c>
      <c r="R19" s="158">
        <f t="shared" si="6"/>
        <v>0</v>
      </c>
      <c r="S19" s="158">
        <f t="shared" si="7"/>
        <v>0</v>
      </c>
      <c r="T19" s="151"/>
      <c r="U19" s="158"/>
      <c r="V19" s="200">
        <f t="shared" si="8"/>
        <v>0</v>
      </c>
      <c r="W19" s="200">
        <f t="shared" si="9"/>
        <v>0</v>
      </c>
      <c r="X19" s="267">
        <f t="shared" si="10"/>
        <v>0</v>
      </c>
      <c r="Y19" s="200">
        <f t="shared" si="11"/>
        <v>0</v>
      </c>
      <c r="Z19" s="200">
        <f t="shared" si="12"/>
        <v>0</v>
      </c>
      <c r="AA19" s="200"/>
      <c r="AB19" s="200">
        <f t="shared" si="13"/>
        <v>0</v>
      </c>
      <c r="AC19" s="200">
        <f t="shared" si="14"/>
        <v>0</v>
      </c>
      <c r="AD19" s="200">
        <f t="shared" si="15"/>
        <v>0</v>
      </c>
      <c r="AE19" s="200">
        <f t="shared" si="16"/>
        <v>0</v>
      </c>
    </row>
    <row r="20" spans="1:58" ht="14.45" customHeight="1" x14ac:dyDescent="0.2">
      <c r="A20" s="18"/>
      <c r="B20" s="81"/>
      <c r="C20" s="18"/>
      <c r="D20" s="18"/>
      <c r="E20" s="158"/>
      <c r="F20" s="158">
        <f t="shared" si="1"/>
        <v>0</v>
      </c>
      <c r="G20" s="158"/>
      <c r="H20" s="158">
        <f t="shared" si="2"/>
        <v>0</v>
      </c>
      <c r="I20" s="151"/>
      <c r="J20" s="158">
        <f t="shared" si="3"/>
        <v>0</v>
      </c>
      <c r="K20" s="264"/>
      <c r="L20" s="158"/>
      <c r="M20" s="158"/>
      <c r="N20" s="265"/>
      <c r="O20" s="266">
        <f t="shared" si="4"/>
        <v>0</v>
      </c>
      <c r="P20" s="151"/>
      <c r="Q20" s="158">
        <f t="shared" si="5"/>
        <v>0</v>
      </c>
      <c r="R20" s="158">
        <f t="shared" si="6"/>
        <v>0</v>
      </c>
      <c r="S20" s="158">
        <f t="shared" si="7"/>
        <v>0</v>
      </c>
      <c r="T20" s="151"/>
      <c r="U20" s="158"/>
      <c r="V20" s="200">
        <f t="shared" si="8"/>
        <v>0</v>
      </c>
      <c r="W20" s="200">
        <f t="shared" si="9"/>
        <v>0</v>
      </c>
      <c r="X20" s="267">
        <f t="shared" si="10"/>
        <v>0</v>
      </c>
      <c r="Y20" s="200">
        <f t="shared" si="11"/>
        <v>0</v>
      </c>
      <c r="Z20" s="200">
        <f t="shared" si="12"/>
        <v>0</v>
      </c>
      <c r="AA20" s="200"/>
      <c r="AB20" s="200">
        <f t="shared" si="13"/>
        <v>0</v>
      </c>
      <c r="AC20" s="200">
        <f t="shared" si="14"/>
        <v>0</v>
      </c>
      <c r="AD20" s="200">
        <f t="shared" si="15"/>
        <v>0</v>
      </c>
      <c r="AE20" s="200">
        <f t="shared" si="16"/>
        <v>0</v>
      </c>
    </row>
    <row r="21" spans="1:58" x14ac:dyDescent="0.2">
      <c r="A21" s="18"/>
      <c r="B21" s="81"/>
      <c r="C21" s="18"/>
      <c r="D21" s="18"/>
      <c r="E21" s="158"/>
      <c r="F21" s="158">
        <f t="shared" si="1"/>
        <v>0</v>
      </c>
      <c r="G21" s="158"/>
      <c r="H21" s="158">
        <f t="shared" si="2"/>
        <v>0</v>
      </c>
      <c r="I21" s="151"/>
      <c r="J21" s="158">
        <f t="shared" si="3"/>
        <v>0</v>
      </c>
      <c r="K21" s="264"/>
      <c r="L21" s="158"/>
      <c r="M21" s="158"/>
      <c r="N21" s="265"/>
      <c r="O21" s="266">
        <f t="shared" si="4"/>
        <v>0</v>
      </c>
      <c r="P21" s="151"/>
      <c r="Q21" s="158">
        <f t="shared" si="5"/>
        <v>0</v>
      </c>
      <c r="R21" s="158">
        <f t="shared" si="6"/>
        <v>0</v>
      </c>
      <c r="S21" s="158">
        <f t="shared" si="7"/>
        <v>0</v>
      </c>
      <c r="T21" s="151"/>
      <c r="U21" s="158"/>
      <c r="V21" s="200">
        <f t="shared" si="8"/>
        <v>0</v>
      </c>
      <c r="W21" s="200">
        <f t="shared" si="9"/>
        <v>0</v>
      </c>
      <c r="X21" s="267">
        <f t="shared" si="10"/>
        <v>0</v>
      </c>
      <c r="Y21" s="200">
        <f t="shared" si="11"/>
        <v>0</v>
      </c>
      <c r="Z21" s="200">
        <f t="shared" si="12"/>
        <v>0</v>
      </c>
      <c r="AA21" s="200"/>
      <c r="AB21" s="200">
        <f t="shared" si="13"/>
        <v>0</v>
      </c>
      <c r="AC21" s="200">
        <f t="shared" si="14"/>
        <v>0</v>
      </c>
      <c r="AD21" s="200">
        <f t="shared" si="15"/>
        <v>0</v>
      </c>
      <c r="AE21" s="200">
        <f t="shared" si="16"/>
        <v>0</v>
      </c>
    </row>
    <row r="22" spans="1:58" x14ac:dyDescent="0.2">
      <c r="A22" s="18"/>
      <c r="B22" s="81"/>
      <c r="C22" s="18"/>
      <c r="D22" s="18"/>
      <c r="E22" s="158"/>
      <c r="F22" s="158">
        <f t="shared" si="1"/>
        <v>0</v>
      </c>
      <c r="G22" s="158"/>
      <c r="H22" s="158">
        <f t="shared" si="2"/>
        <v>0</v>
      </c>
      <c r="I22" s="151"/>
      <c r="J22" s="158">
        <f t="shared" si="3"/>
        <v>0</v>
      </c>
      <c r="K22" s="264"/>
      <c r="L22" s="158"/>
      <c r="M22" s="158"/>
      <c r="N22" s="265"/>
      <c r="O22" s="266">
        <f t="shared" si="4"/>
        <v>0</v>
      </c>
      <c r="P22" s="151"/>
      <c r="Q22" s="158">
        <f t="shared" si="5"/>
        <v>0</v>
      </c>
      <c r="R22" s="158">
        <f t="shared" si="6"/>
        <v>0</v>
      </c>
      <c r="S22" s="158">
        <f t="shared" si="7"/>
        <v>0</v>
      </c>
      <c r="T22" s="151"/>
      <c r="U22" s="158"/>
      <c r="V22" s="200">
        <f t="shared" si="8"/>
        <v>0</v>
      </c>
      <c r="W22" s="200">
        <f t="shared" si="9"/>
        <v>0</v>
      </c>
      <c r="X22" s="267">
        <f t="shared" si="10"/>
        <v>0</v>
      </c>
      <c r="Y22" s="200">
        <f t="shared" si="11"/>
        <v>0</v>
      </c>
      <c r="Z22" s="200">
        <f t="shared" si="12"/>
        <v>0</v>
      </c>
      <c r="AA22" s="268"/>
      <c r="AB22" s="200">
        <f t="shared" si="13"/>
        <v>0</v>
      </c>
      <c r="AC22" s="200">
        <f t="shared" si="14"/>
        <v>0</v>
      </c>
      <c r="AD22" s="200">
        <f t="shared" si="15"/>
        <v>0</v>
      </c>
      <c r="AE22" s="200">
        <f t="shared" si="16"/>
        <v>0</v>
      </c>
    </row>
    <row r="23" spans="1:58" x14ac:dyDescent="0.2">
      <c r="A23" s="18"/>
      <c r="B23" s="81"/>
      <c r="C23" s="18"/>
      <c r="D23" s="18"/>
      <c r="E23" s="158"/>
      <c r="F23" s="158">
        <f t="shared" si="1"/>
        <v>0</v>
      </c>
      <c r="G23" s="158"/>
      <c r="H23" s="158">
        <f t="shared" si="2"/>
        <v>0</v>
      </c>
      <c r="I23" s="151"/>
      <c r="J23" s="158">
        <f t="shared" si="3"/>
        <v>0</v>
      </c>
      <c r="K23" s="264"/>
      <c r="L23" s="158"/>
      <c r="M23" s="158"/>
      <c r="N23" s="265"/>
      <c r="O23" s="266">
        <f t="shared" si="4"/>
        <v>0</v>
      </c>
      <c r="P23" s="151"/>
      <c r="Q23" s="158">
        <f t="shared" si="5"/>
        <v>0</v>
      </c>
      <c r="R23" s="158">
        <f t="shared" si="6"/>
        <v>0</v>
      </c>
      <c r="S23" s="158">
        <f t="shared" si="7"/>
        <v>0</v>
      </c>
      <c r="T23" s="151"/>
      <c r="U23" s="158"/>
      <c r="V23" s="200">
        <f t="shared" si="8"/>
        <v>0</v>
      </c>
      <c r="W23" s="200">
        <f t="shared" si="9"/>
        <v>0</v>
      </c>
      <c r="X23" s="267">
        <f t="shared" si="10"/>
        <v>0</v>
      </c>
      <c r="Y23" s="200">
        <f t="shared" si="11"/>
        <v>0</v>
      </c>
      <c r="Z23" s="200">
        <f t="shared" si="12"/>
        <v>0</v>
      </c>
      <c r="AA23" s="200"/>
      <c r="AB23" s="200">
        <f t="shared" si="13"/>
        <v>0</v>
      </c>
      <c r="AC23" s="200">
        <f t="shared" si="14"/>
        <v>0</v>
      </c>
      <c r="AD23" s="200">
        <f t="shared" si="15"/>
        <v>0</v>
      </c>
      <c r="AE23" s="200">
        <f t="shared" si="16"/>
        <v>0</v>
      </c>
    </row>
    <row r="24" spans="1:58" ht="14.25" customHeight="1" x14ac:dyDescent="0.2">
      <c r="A24" s="291" t="s">
        <v>469</v>
      </c>
      <c r="B24" s="292"/>
      <c r="C24" s="292"/>
      <c r="D24" s="292"/>
      <c r="E24" s="292"/>
      <c r="F24" s="292"/>
      <c r="G24" s="292"/>
      <c r="H24" s="292"/>
      <c r="I24" s="292"/>
      <c r="J24" s="292"/>
      <c r="K24" s="292"/>
      <c r="L24" s="292"/>
      <c r="M24" s="292"/>
      <c r="N24" s="292"/>
      <c r="O24" s="292"/>
      <c r="P24" s="292"/>
      <c r="Q24" s="292"/>
      <c r="R24" s="292"/>
      <c r="S24" s="292"/>
      <c r="T24" s="292"/>
      <c r="U24" s="292"/>
      <c r="V24" s="292"/>
      <c r="W24" s="292"/>
      <c r="X24" s="108"/>
      <c r="Y24" s="20"/>
      <c r="Z24" s="108"/>
      <c r="AA24" s="20"/>
      <c r="AB24" s="20"/>
      <c r="AC24" s="109"/>
      <c r="AD24" s="108"/>
      <c r="AE24" s="20"/>
      <c r="AF24" s="106"/>
      <c r="AG24" s="20"/>
      <c r="AH24" s="110"/>
      <c r="AI24" s="111"/>
      <c r="AJ24" s="20"/>
      <c r="AK24" s="106"/>
      <c r="AL24" s="20"/>
      <c r="AM24" s="112"/>
      <c r="AN24" s="113"/>
      <c r="AO24" s="20"/>
      <c r="AP24" s="114"/>
      <c r="AQ24" s="20"/>
      <c r="AR24" s="112"/>
      <c r="AS24" s="124"/>
      <c r="AT24" s="20"/>
      <c r="AU24" s="20"/>
      <c r="AV24" s="20"/>
      <c r="AW24" s="20"/>
    </row>
    <row r="25" spans="1:58" ht="14.25" customHeight="1" x14ac:dyDescent="0.2">
      <c r="A25" s="284" t="s">
        <v>470</v>
      </c>
      <c r="B25" s="284"/>
      <c r="C25" s="284"/>
      <c r="D25" s="284"/>
      <c r="E25" s="284"/>
      <c r="F25" s="284"/>
      <c r="G25" s="284"/>
      <c r="H25" s="284"/>
      <c r="I25" s="284"/>
      <c r="J25" s="284"/>
      <c r="K25" s="284"/>
      <c r="L25" s="284"/>
      <c r="M25" s="284"/>
      <c r="N25" s="284"/>
      <c r="O25" s="284"/>
      <c r="P25" s="284"/>
      <c r="Q25" s="284"/>
      <c r="R25" s="284"/>
      <c r="S25" s="284"/>
      <c r="T25" s="284"/>
      <c r="U25" s="284"/>
      <c r="V25" s="284"/>
      <c r="W25" s="284"/>
      <c r="X25" s="108"/>
      <c r="Y25" s="20"/>
      <c r="Z25" s="108"/>
      <c r="AA25" s="20"/>
      <c r="AB25" s="20"/>
      <c r="AC25" s="109"/>
      <c r="AD25" s="108"/>
      <c r="AE25" s="20"/>
      <c r="AF25" s="106"/>
      <c r="AG25" s="20"/>
      <c r="AH25" s="110"/>
      <c r="AI25" s="111"/>
      <c r="AJ25" s="20"/>
      <c r="AK25" s="106"/>
      <c r="AL25" s="20"/>
      <c r="AM25" s="112"/>
      <c r="AN25" s="113"/>
      <c r="AO25" s="20"/>
      <c r="AP25" s="114"/>
      <c r="AQ25" s="20"/>
      <c r="AR25" s="112"/>
      <c r="AS25" s="124"/>
      <c r="AT25" s="20"/>
      <c r="AU25" s="20"/>
      <c r="AV25" s="20"/>
      <c r="AW25" s="20"/>
    </row>
    <row r="26" spans="1:58" s="65" customFormat="1" ht="15" x14ac:dyDescent="0.25">
      <c r="A26" s="129" t="s">
        <v>165</v>
      </c>
      <c r="B26" s="48"/>
      <c r="C26" s="48"/>
      <c r="D26" s="48"/>
      <c r="E26" s="48"/>
      <c r="F26" s="48"/>
      <c r="G26" s="48"/>
      <c r="H26" s="48"/>
      <c r="I26" s="48"/>
      <c r="J26" s="48"/>
      <c r="K26" s="48"/>
      <c r="L26" s="48"/>
      <c r="M26" s="48"/>
      <c r="N26" s="48"/>
      <c r="O26" s="48"/>
      <c r="P26" s="161"/>
      <c r="Q26" s="48"/>
      <c r="R26" s="48"/>
      <c r="S26" s="48"/>
      <c r="T26" s="48"/>
      <c r="U26" s="48"/>
      <c r="V26" s="49"/>
      <c r="W26" s="49"/>
      <c r="X26" s="49"/>
      <c r="Y26" s="49"/>
      <c r="Z26" s="49"/>
      <c r="AA26" s="49"/>
      <c r="AB26" s="49"/>
      <c r="AC26" s="20"/>
      <c r="AD26" s="20"/>
      <c r="AE26" s="20"/>
      <c r="AF26" s="20"/>
      <c r="AG26" s="20"/>
      <c r="AH26" s="20"/>
      <c r="AI26" s="20"/>
      <c r="AJ26" s="20"/>
      <c r="AK26" s="20"/>
      <c r="AL26" s="20"/>
      <c r="AM26" s="20"/>
      <c r="AN26" s="20"/>
      <c r="AO26" s="21"/>
      <c r="AP26" s="21"/>
      <c r="AQ26" s="21"/>
      <c r="AR26" s="21"/>
      <c r="AS26" s="19"/>
      <c r="AT26" s="20"/>
      <c r="AU26" s="20"/>
      <c r="AV26" s="124"/>
      <c r="AW26" s="124"/>
      <c r="AX26" s="124"/>
      <c r="AY26" s="124"/>
      <c r="AZ26" s="21"/>
      <c r="BA26" s="37"/>
      <c r="BB26" s="20"/>
      <c r="BC26" s="20"/>
      <c r="BD26" s="20"/>
      <c r="BE26" s="20"/>
    </row>
    <row r="27" spans="1:58" s="20" customFormat="1" ht="16.5" customHeight="1" x14ac:dyDescent="0.2">
      <c r="A27" s="285" t="s">
        <v>471</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119"/>
      <c r="Z27" s="119"/>
      <c r="AA27" s="119"/>
      <c r="AB27" s="119"/>
      <c r="AC27" s="119"/>
      <c r="AD27" s="119"/>
      <c r="AE27" s="119"/>
      <c r="AF27" s="119"/>
      <c r="AG27" s="19"/>
      <c r="AH27" s="19"/>
      <c r="AI27" s="19"/>
      <c r="AJ27" s="19"/>
      <c r="AK27" s="19"/>
      <c r="AL27" s="19"/>
      <c r="AM27" s="19"/>
      <c r="AQ27" s="38"/>
      <c r="AS27" s="22"/>
      <c r="AT27" s="23"/>
      <c r="AU27" s="23"/>
      <c r="AV27" s="23"/>
      <c r="AW27" s="23"/>
      <c r="AX27" s="19"/>
      <c r="AY27" s="19"/>
      <c r="AZ27" s="19"/>
      <c r="BA27" s="19"/>
      <c r="BB27" s="19"/>
      <c r="BC27" s="19"/>
      <c r="BD27" s="19"/>
      <c r="BE27" s="19"/>
      <c r="BF27" s="19"/>
    </row>
    <row r="28" spans="1:58" s="20" customFormat="1" ht="16.5" customHeight="1" x14ac:dyDescent="0.2">
      <c r="A28" s="286" t="s">
        <v>408</v>
      </c>
      <c r="B28" s="286"/>
      <c r="C28" s="286"/>
      <c r="D28" s="286"/>
      <c r="E28" s="286"/>
      <c r="F28" s="286"/>
      <c r="G28" s="286"/>
      <c r="H28" s="286"/>
      <c r="I28" s="286"/>
      <c r="J28" s="286"/>
      <c r="K28" s="286"/>
      <c r="L28" s="286"/>
      <c r="M28" s="286"/>
      <c r="N28" s="286"/>
      <c r="O28" s="286"/>
      <c r="P28" s="286"/>
      <c r="Q28" s="286"/>
      <c r="R28" s="286"/>
      <c r="S28" s="286"/>
      <c r="T28" s="286"/>
      <c r="U28" s="286"/>
      <c r="V28" s="286"/>
      <c r="W28" s="286"/>
      <c r="X28" s="286"/>
      <c r="Y28" s="119"/>
      <c r="Z28" s="119"/>
      <c r="AA28" s="119"/>
      <c r="AB28" s="119"/>
      <c r="AC28" s="119"/>
      <c r="AD28" s="119"/>
      <c r="AE28" s="119"/>
      <c r="AF28" s="119"/>
      <c r="AG28" s="19"/>
      <c r="AH28" s="19"/>
      <c r="AI28" s="19"/>
      <c r="AJ28" s="19"/>
      <c r="AK28" s="19"/>
      <c r="AL28" s="19"/>
      <c r="AM28" s="19"/>
      <c r="AQ28" s="38"/>
      <c r="AS28" s="22"/>
      <c r="AT28" s="23"/>
      <c r="AU28" s="23"/>
      <c r="AV28" s="23"/>
      <c r="AW28" s="23"/>
      <c r="AX28" s="19"/>
      <c r="AY28" s="19"/>
      <c r="AZ28" s="19"/>
      <c r="BA28" s="19"/>
      <c r="BB28" s="19"/>
      <c r="BC28" s="19"/>
      <c r="BD28" s="19"/>
      <c r="BE28" s="19"/>
      <c r="BF28" s="19"/>
    </row>
    <row r="29" spans="1:58" ht="12.75" customHeight="1" x14ac:dyDescent="0.2">
      <c r="A29" s="286"/>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0"/>
      <c r="Z29" s="20"/>
      <c r="AA29" s="20"/>
      <c r="AB29" s="20"/>
      <c r="AC29" s="20"/>
      <c r="AD29" s="20"/>
      <c r="AE29" s="20"/>
    </row>
    <row r="30" spans="1:58" ht="32.25" customHeight="1" x14ac:dyDescent="0.2">
      <c r="A30" s="286" t="s">
        <v>472</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0"/>
      <c r="Z30" s="20"/>
      <c r="AA30" s="20"/>
      <c r="AB30" s="20"/>
      <c r="AC30" s="20"/>
      <c r="AD30" s="20"/>
      <c r="AE30" s="20"/>
    </row>
    <row r="31" spans="1:58" ht="15" customHeight="1" x14ac:dyDescent="0.2">
      <c r="A31" s="120"/>
      <c r="B31" s="120"/>
      <c r="C31" s="120"/>
      <c r="D31" s="120"/>
      <c r="E31" s="120"/>
      <c r="F31" s="120"/>
      <c r="G31" s="120"/>
      <c r="H31" s="120"/>
      <c r="I31" s="120"/>
      <c r="J31" s="120"/>
      <c r="K31" s="120"/>
      <c r="L31" s="120"/>
      <c r="M31" s="120"/>
      <c r="N31" s="120"/>
      <c r="O31" s="120"/>
      <c r="P31" s="120"/>
      <c r="Q31" s="120"/>
      <c r="R31" s="120"/>
      <c r="S31" s="120"/>
      <c r="T31" s="120"/>
      <c r="U31" s="120"/>
      <c r="V31" s="120"/>
      <c r="W31" s="120"/>
      <c r="X31" s="120"/>
      <c r="Y31" s="20"/>
      <c r="Z31" s="20"/>
      <c r="AA31" s="20"/>
      <c r="AB31" s="20"/>
      <c r="AC31" s="20"/>
      <c r="AD31" s="20"/>
      <c r="AE31" s="20"/>
    </row>
    <row r="32" spans="1:58" s="181" customFormat="1" ht="17.25" customHeight="1" x14ac:dyDescent="0.25">
      <c r="A32" s="298" t="s">
        <v>542</v>
      </c>
      <c r="B32" s="298"/>
      <c r="C32" s="298"/>
      <c r="D32" s="298"/>
      <c r="E32" s="298"/>
      <c r="F32" s="298"/>
      <c r="G32" s="304"/>
      <c r="H32" s="304"/>
      <c r="I32" s="304"/>
      <c r="J32" s="304"/>
      <c r="K32" s="180"/>
      <c r="L32" s="48"/>
      <c r="M32" s="299"/>
      <c r="N32" s="299"/>
      <c r="O32" s="299"/>
      <c r="R32" s="179"/>
      <c r="S32" s="179"/>
      <c r="T32" s="179"/>
      <c r="U32" s="179"/>
      <c r="V32" s="179"/>
      <c r="W32" s="179"/>
      <c r="X32" s="179"/>
    </row>
    <row r="33" spans="1:26" s="181" customFormat="1" ht="16.899999999999999" customHeight="1" x14ac:dyDescent="0.25">
      <c r="A33" s="179"/>
      <c r="B33" s="179"/>
      <c r="C33" s="179"/>
      <c r="D33" s="179"/>
      <c r="E33" s="179"/>
      <c r="F33" s="179"/>
      <c r="G33" s="301" t="s">
        <v>538</v>
      </c>
      <c r="H33" s="301"/>
      <c r="I33" s="301"/>
      <c r="J33" s="301"/>
      <c r="K33" s="179"/>
      <c r="L33" s="179"/>
      <c r="M33" s="362" t="s">
        <v>539</v>
      </c>
      <c r="N33" s="362"/>
      <c r="O33" s="362"/>
      <c r="R33" s="179"/>
      <c r="S33" s="179"/>
      <c r="T33" s="179"/>
      <c r="U33" s="179"/>
      <c r="V33" s="179"/>
      <c r="W33" s="179"/>
      <c r="X33" s="179"/>
    </row>
    <row r="34" spans="1:26" customFormat="1" ht="18.75" customHeight="1" x14ac:dyDescent="0.25">
      <c r="A34" s="298" t="s">
        <v>540</v>
      </c>
      <c r="B34" s="298"/>
      <c r="C34" s="298"/>
      <c r="D34" s="298"/>
      <c r="E34" s="298"/>
      <c r="F34" s="298"/>
      <c r="G34" s="299"/>
      <c r="H34" s="299"/>
      <c r="I34" s="299"/>
      <c r="J34" s="299"/>
      <c r="K34" s="182"/>
      <c r="L34" s="299"/>
      <c r="M34" s="299"/>
      <c r="N34" s="299"/>
      <c r="O34" s="299"/>
      <c r="P34" s="183"/>
      <c r="Q34" s="300"/>
      <c r="R34" s="300"/>
      <c r="S34" s="300"/>
      <c r="T34" s="300"/>
      <c r="U34" s="178"/>
      <c r="V34" s="178"/>
      <c r="W34" s="178"/>
      <c r="X34" s="178"/>
      <c r="Y34" s="178"/>
      <c r="Z34" s="178"/>
    </row>
    <row r="35" spans="1:26" customFormat="1" ht="15" customHeight="1" x14ac:dyDescent="0.25">
      <c r="A35" s="184"/>
      <c r="B35" s="184"/>
      <c r="C35" s="184"/>
      <c r="D35" s="184"/>
      <c r="E35" s="78"/>
      <c r="F35" s="78"/>
      <c r="G35" s="301" t="s">
        <v>538</v>
      </c>
      <c r="H35" s="301"/>
      <c r="I35" s="301"/>
      <c r="J35" s="301"/>
      <c r="K35" s="185"/>
      <c r="L35" s="302" t="s">
        <v>304</v>
      </c>
      <c r="M35" s="302"/>
      <c r="N35" s="302"/>
      <c r="O35" s="302"/>
      <c r="P35" s="138"/>
      <c r="Q35" s="303" t="s">
        <v>541</v>
      </c>
      <c r="R35" s="303"/>
      <c r="S35" s="303"/>
      <c r="T35" s="303"/>
      <c r="U35" s="178"/>
      <c r="V35" s="178"/>
      <c r="W35" s="178"/>
      <c r="X35" s="178"/>
      <c r="Y35" s="178"/>
      <c r="Z35" s="178"/>
    </row>
  </sheetData>
  <mergeCells count="53">
    <mergeCell ref="G35:J35"/>
    <mergeCell ref="L35:O35"/>
    <mergeCell ref="Q35:T35"/>
    <mergeCell ref="M32:O32"/>
    <mergeCell ref="M33:O33"/>
    <mergeCell ref="G33:J33"/>
    <mergeCell ref="A34:F34"/>
    <mergeCell ref="G34:J34"/>
    <mergeCell ref="L34:O34"/>
    <mergeCell ref="Q34:T34"/>
    <mergeCell ref="AA7:AA12"/>
    <mergeCell ref="L11:L12"/>
    <mergeCell ref="A7:A12"/>
    <mergeCell ref="B7:B12"/>
    <mergeCell ref="C7:C12"/>
    <mergeCell ref="P7:Q11"/>
    <mergeCell ref="H7:H12"/>
    <mergeCell ref="I7:J11"/>
    <mergeCell ref="K7:L10"/>
    <mergeCell ref="D7:D12"/>
    <mergeCell ref="E7:F9"/>
    <mergeCell ref="W8:W12"/>
    <mergeCell ref="A1:AE1"/>
    <mergeCell ref="R7:R12"/>
    <mergeCell ref="Y7:Y12"/>
    <mergeCell ref="AB7:AB12"/>
    <mergeCell ref="AC7:AC12"/>
    <mergeCell ref="AD7:AD12"/>
    <mergeCell ref="AE7:AE12"/>
    <mergeCell ref="T7:U11"/>
    <mergeCell ref="V7:V12"/>
    <mergeCell ref="W7:X7"/>
    <mergeCell ref="F10:F12"/>
    <mergeCell ref="Z7:Z12"/>
    <mergeCell ref="A2:AE2"/>
    <mergeCell ref="S7:S12"/>
    <mergeCell ref="B4:C5"/>
    <mergeCell ref="E4:I4"/>
    <mergeCell ref="K4:K5"/>
    <mergeCell ref="E5:I5"/>
    <mergeCell ref="E10:E12"/>
    <mergeCell ref="A32:F32"/>
    <mergeCell ref="G32:J32"/>
    <mergeCell ref="K11:K12"/>
    <mergeCell ref="X8:X12"/>
    <mergeCell ref="A30:X30"/>
    <mergeCell ref="G7:G12"/>
    <mergeCell ref="A24:W24"/>
    <mergeCell ref="A25:W25"/>
    <mergeCell ref="A27:X27"/>
    <mergeCell ref="A28:X29"/>
    <mergeCell ref="M7:M12"/>
    <mergeCell ref="N7:O11"/>
  </mergeCells>
  <dataValidations count="1">
    <dataValidation type="custom" allowBlank="1" showInputMessage="1" showErrorMessage="1" error="Cuantumul plăţilor cu caracter stimulator din contul veniturilor colectate plătite lunar unui angajat nu va depăşi salariul lui de funcţie, ţinîndu-se cont de sporul pentru vechime în muncă." sqref="AA15">
      <formula1>AA15&lt;=(H15+J15)*12</formula1>
    </dataValidation>
  </dataValidations>
  <printOptions horizontalCentered="1"/>
  <pageMargins left="0.31496062992126" right="0.31496062992126" top="0.66929133858267698" bottom="0.66929133858267698" header="0.31496062992126" footer="0.31496062992126"/>
  <pageSetup paperSize="8" scale="67" fitToHeight="80" orientation="landscape" r:id="rId1"/>
  <headerFooter>
    <oddHeader>&amp;R&amp;10Tabel nr.10</oddHeader>
    <oddFooter>&amp;R&amp;"-,полужирный"&amp;8&amp;P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26</vt:i4>
      </vt:variant>
    </vt:vector>
  </HeadingPairs>
  <TitlesOfParts>
    <vt:vector size="39" baseType="lpstr">
      <vt:lpstr>tabel nr.2</vt:lpstr>
      <vt:lpstr>tabel nr.3</vt:lpstr>
      <vt:lpstr>tabel nr.4</vt:lpstr>
      <vt:lpstr>tabel nr.5</vt:lpstr>
      <vt:lpstr>tabel nr.6</vt:lpstr>
      <vt:lpstr>tabel nr.7</vt:lpstr>
      <vt:lpstr>tabel nr.8</vt:lpstr>
      <vt:lpstr>tabel nr.9</vt:lpstr>
      <vt:lpstr>tabel nr.10</vt:lpstr>
      <vt:lpstr>tabel nr.11</vt:lpstr>
      <vt:lpstr>tabel nr.12</vt:lpstr>
      <vt:lpstr>tabel nr.13</vt:lpstr>
      <vt:lpstr>tabel nr.14</vt:lpstr>
      <vt:lpstr>'tabel nr.10'!Print_Area</vt:lpstr>
      <vt:lpstr>'tabel nr.11'!Print_Area</vt:lpstr>
      <vt:lpstr>'tabel nr.12'!Print_Area</vt:lpstr>
      <vt:lpstr>'tabel nr.13'!Print_Area</vt:lpstr>
      <vt:lpstr>'tabel nr.14'!Print_Area</vt:lpstr>
      <vt:lpstr>'tabel nr.2'!Print_Area</vt:lpstr>
      <vt:lpstr>'tabel nr.3'!Print_Area</vt:lpstr>
      <vt:lpstr>'tabel nr.4'!Print_Area</vt:lpstr>
      <vt:lpstr>'tabel nr.5'!Print_Area</vt:lpstr>
      <vt:lpstr>'tabel nr.6'!Print_Area</vt:lpstr>
      <vt:lpstr>'tabel nr.7'!Print_Area</vt:lpstr>
      <vt:lpstr>'tabel nr.8'!Print_Area</vt:lpstr>
      <vt:lpstr>'tabel nr.9'!Print_Area</vt:lpstr>
      <vt:lpstr>'tabel nr.10'!Print_Titles</vt:lpstr>
      <vt:lpstr>'tabel nr.11'!Print_Titles</vt:lpstr>
      <vt:lpstr>'tabel nr.12'!Print_Titles</vt:lpstr>
      <vt:lpstr>'tabel nr.13'!Print_Titles</vt:lpstr>
      <vt:lpstr>'tabel nr.14'!Print_Titles</vt:lpstr>
      <vt:lpstr>'tabel nr.2'!Print_Titles</vt:lpstr>
      <vt:lpstr>'tabel nr.3'!Print_Titles</vt:lpstr>
      <vt:lpstr>'tabel nr.4'!Print_Titles</vt:lpstr>
      <vt:lpstr>'tabel nr.5'!Print_Titles</vt:lpstr>
      <vt:lpstr>'tabel nr.6'!Print_Titles</vt:lpstr>
      <vt:lpstr>'tabel nr.7'!Print_Titles</vt:lpstr>
      <vt:lpstr>'tabel nr.8'!Print_Titles</vt:lpstr>
      <vt:lpstr>'tabel nr.9'!Print_Titles</vt:lpstr>
    </vt:vector>
  </TitlesOfParts>
  <Company>aaa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mgiza</dc:creator>
  <cp:lastModifiedBy>Irina Bors</cp:lastModifiedBy>
  <cp:lastPrinted>2018-07-02T11:07:55Z</cp:lastPrinted>
  <dcterms:created xsi:type="dcterms:W3CDTF">2013-09-18T11:49:58Z</dcterms:created>
  <dcterms:modified xsi:type="dcterms:W3CDTF">2018-09-10T13:11:18Z</dcterms:modified>
</cp:coreProperties>
</file>